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firstSheet="1" activeTab="4"/>
  </bookViews>
  <sheets>
    <sheet name="ЗВІТ 2010р міськв" sheetId="1" r:id="rId1"/>
    <sheet name="заходи факт2011 затвер" sheetId="2" r:id="rId2"/>
    <sheet name="Зміни11р затверд" sheetId="3" r:id="rId3"/>
    <sheet name="Звіт" sheetId="4" r:id="rId4"/>
    <sheet name="Заходи  2012р" sheetId="5" r:id="rId5"/>
    <sheet name="Заходи  2012р (2)" sheetId="6" r:id="rId6"/>
  </sheets>
  <definedNames/>
  <calcPr fullCalcOnLoad="1"/>
</workbook>
</file>

<file path=xl/sharedStrings.xml><?xml version="1.0" encoding="utf-8"?>
<sst xmlns="http://schemas.openxmlformats.org/spreadsheetml/2006/main" count="4664" uniqueCount="674">
  <si>
    <t>ЗАХОДИ</t>
  </si>
  <si>
    <t>на виконання Програми благоустрою міста Нетішина</t>
  </si>
  <si>
    <t>Найменування робіт</t>
  </si>
  <si>
    <t>Одиниця виміру</t>
  </si>
  <si>
    <t>КФК</t>
  </si>
  <si>
    <t>КЕКВ</t>
  </si>
  <si>
    <t>Вартість робіт по кошторисам тис.грн.</t>
  </si>
  <si>
    <t>Примітка</t>
  </si>
  <si>
    <t>До об’єктів міського благоустрою належать:</t>
  </si>
  <si>
    <t>1. Вулично-дорожня мережа (земляне полотно і проїзна частина вулиць, доріг, майданів, внутрішньоквартальних та інших</t>
  </si>
  <si>
    <t>проїздів, тротуари, пішохідні та велосипедні доріжки, вуличні автомобільні стоянки, водостічні та дренажні системи, труби</t>
  </si>
  <si>
    <t>та малі мости, які не є окремими інвентарними об’єктами, технічні засоби організації дорожнього руху, у тому числі системи</t>
  </si>
  <si>
    <t>керування рухом)</t>
  </si>
  <si>
    <t>1.</t>
  </si>
  <si>
    <t>2.</t>
  </si>
  <si>
    <t>2. Штучні споруди на вулично-дорожній мережі (мости, естакади, шляхопроводи, транспортні та пішохідні тунелі)</t>
  </si>
  <si>
    <t>4.</t>
  </si>
  <si>
    <t>5.</t>
  </si>
  <si>
    <t>6.</t>
  </si>
  <si>
    <t>4. Зелені насадження (парки, сквери, сади загального користування, зелені насадження на вулицях, дорогах, прибудинкових</t>
  </si>
  <si>
    <t>територіях та санітарно-захисних зонах)</t>
  </si>
  <si>
    <t>апаратура диспетчерського зв’язку, автоматика та телемеханіка)</t>
  </si>
  <si>
    <t>стінки, сходи, парапети, дренажі)</t>
  </si>
  <si>
    <t>сміттєпереробні заводи, громадські туалети, пункти приймання тварин, карантинні майданчики, кладовища для тварин)</t>
  </si>
  <si>
    <t>заправки водою поливально-мийних машин)</t>
  </si>
  <si>
    <t>9. Об’єкти благоустрою кладовищ</t>
  </si>
  <si>
    <t>Об’єм робіт</t>
  </si>
  <si>
    <t>№ п/п</t>
  </si>
  <si>
    <t xml:space="preserve"> Очистка проїжджої частини дорiг бiля бордюрiв вручну вiд</t>
  </si>
  <si>
    <t xml:space="preserve"> нанесеного грунту в рухаючий механiзм.</t>
  </si>
  <si>
    <t>Пр.Незалежностi</t>
  </si>
  <si>
    <t>Пр.Курчатова</t>
  </si>
  <si>
    <t>Вул.Будiвельникiв</t>
  </si>
  <si>
    <t>Вул.Миру</t>
  </si>
  <si>
    <t>Вул.Набережна</t>
  </si>
  <si>
    <t>Вул.Михайлова</t>
  </si>
  <si>
    <t>Вул.Шевченка</t>
  </si>
  <si>
    <t>Вул.Висоцького</t>
  </si>
  <si>
    <t>Вул.Варшавська</t>
  </si>
  <si>
    <t>Вул.Лiсова</t>
  </si>
  <si>
    <t>Вул.Старонетiшинська</t>
  </si>
  <si>
    <t>Вул.Снiгурi</t>
  </si>
  <si>
    <t>Вул.Космонавтiв</t>
  </si>
  <si>
    <t>10 м.</t>
  </si>
  <si>
    <t>Очищення від сміття та догляд за колодязями по місту</t>
  </si>
  <si>
    <t xml:space="preserve">3. </t>
  </si>
  <si>
    <t>Очищення дорожних знаків від бруду вручну</t>
  </si>
  <si>
    <t xml:space="preserve">Очищення від сміття та догляд за лівнеприймачами від грязі в ручну </t>
  </si>
  <si>
    <t>Видалення бур'яну біля бордюрів вручну</t>
  </si>
  <si>
    <t>Косіння трави, на узбіччях дороги вручну</t>
  </si>
  <si>
    <t>Посипання покриття протиожеледним матеріалом вручну з рухомого механізму /широкі тротуари/</t>
  </si>
  <si>
    <t>утримання</t>
  </si>
  <si>
    <t>1шт</t>
  </si>
  <si>
    <t>100м2</t>
  </si>
  <si>
    <t>Алея між д/с№1,2,ЗОШ№1</t>
  </si>
  <si>
    <t>Район маг №5,8</t>
  </si>
  <si>
    <t>Алеї д/с№5,6,7,ЗОШ№3</t>
  </si>
  <si>
    <t>Тротуар за 220гурт</t>
  </si>
  <si>
    <t>10м2</t>
  </si>
  <si>
    <t xml:space="preserve"> Навантаження матерiалiв (піску) на транспортні засоби вручну</t>
  </si>
  <si>
    <t>Чергування при зимовому утриманні доріг</t>
  </si>
  <si>
    <t>л/год</t>
  </si>
  <si>
    <t>Непередбачені    роботи</t>
  </si>
  <si>
    <t>по договору</t>
  </si>
  <si>
    <t xml:space="preserve"> Очищення   малих   мостiв вiд  снігу  та  льоду </t>
  </si>
  <si>
    <t>10м</t>
  </si>
  <si>
    <t>м</t>
  </si>
  <si>
    <t>Трактор РУМ ( для посипання широких тротуарів)</t>
  </si>
  <si>
    <t>3. Побутове та комунальне обладнання територій житлової забудови (сміттєзбірники, майданчики для сушіння білизни, відпочинку населення, дитячих забав і спортивних ігор, проведення культурно-масових заходів та інші)</t>
  </si>
  <si>
    <t>Кошториси</t>
  </si>
  <si>
    <t>Прополювання пристовбурних ямок бiля листяних  дерев</t>
  </si>
  <si>
    <t>шт.</t>
  </si>
  <si>
    <t>Влаштування пристовбурних ямок дерев i поодиноких кущiв</t>
  </si>
  <si>
    <t>м2</t>
  </si>
  <si>
    <t>Поливання деревно-чагарникових насаджень у пристовбурнi ямки</t>
  </si>
  <si>
    <t>Видалення сiкатором порослi дерев</t>
  </si>
  <si>
    <t>Обкопування дерев на зиму</t>
  </si>
  <si>
    <t>Вiдгортання землi вiд дерев</t>
  </si>
  <si>
    <t>Підв"язування садженця  до кілка</t>
  </si>
  <si>
    <t>Підгортання грунтом дерев на висоту конуса, до 20см</t>
  </si>
  <si>
    <t>шт</t>
  </si>
  <si>
    <t>Корчування пнів в міських умовах</t>
  </si>
  <si>
    <t>Обробка блактних  і звичйних ялин в зимовий період /приготування розчину/</t>
  </si>
  <si>
    <t>Струшування снігу з дерев висотою до 3м</t>
  </si>
  <si>
    <t>м3</t>
  </si>
  <si>
    <t>Догляд     за      деревами   по  місту</t>
  </si>
  <si>
    <t>Влаштування канавок для поливання живоплоту</t>
  </si>
  <si>
    <t xml:space="preserve">Поливання деревно-чагарникових насаджень  </t>
  </si>
  <si>
    <t>Прополювання пристовбурних канавок бiля неколючих чагарникiв</t>
  </si>
  <si>
    <t xml:space="preserve">Вiдгортання землi вiд чагарникiв </t>
  </si>
  <si>
    <t>Обкопування чагарникiв на зиму</t>
  </si>
  <si>
    <t xml:space="preserve">Ручна стрижка живоплоту вiком бiльше  5 рокiв  з землi </t>
  </si>
  <si>
    <t>Підгортання грунтом чагарників нависоту конуса до 20см</t>
  </si>
  <si>
    <t>Збирання зрiзаного гiлля порiд:твердолистяних i м"яколистяних</t>
  </si>
  <si>
    <t>Прочищення живоплоту з деревно-чагарникових  порід віком більше 5 років: м"яколистяних  з обрізуванням ножівкою і сікатором</t>
  </si>
  <si>
    <t>Прочищення живоплоту з деревно-чагарникових  порід віком більше 5 років: твердолистяних   з обрізуванням ножівкою і сікатором</t>
  </si>
  <si>
    <t>Навантаження гілок на транспортні засоби після обрізування чагарників</t>
  </si>
  <si>
    <t xml:space="preserve">Догляд   за    квiтниками </t>
  </si>
  <si>
    <t xml:space="preserve">Копання ущільн.середніх грунт. до 15см </t>
  </si>
  <si>
    <t>Очищення квiтникiв вiд стебел квiткових рослин</t>
  </si>
  <si>
    <t>Прополювання квiтникiв з розпушуванням грунту при середнiй забур"яненостi</t>
  </si>
  <si>
    <t>Поливання рослин у квiтниках зi шлангу довжиною до 40м</t>
  </si>
  <si>
    <t>Сiвба насiнням однорiчних квiтiв з загортанням землею</t>
  </si>
  <si>
    <t xml:space="preserve">Проріджування однорічних квіткових рослин  з розпушуванням і прополюванням на грунтах середніх при слабкій забур"яненості. </t>
  </si>
  <si>
    <t xml:space="preserve">Збирання сирцю насіння однорічних і дворічних  квіткових рослин </t>
  </si>
  <si>
    <t>1кг.</t>
  </si>
  <si>
    <t>Очищення насіння квіткових рослин однорічних дворічних</t>
  </si>
  <si>
    <t>Влаштування ямок глибиною до 10см</t>
  </si>
  <si>
    <t xml:space="preserve">Навантаження на автотранспорт сміття </t>
  </si>
  <si>
    <t xml:space="preserve">Розрівнювання скопаної поверхні без  ощищення грунту </t>
  </si>
  <si>
    <t xml:space="preserve">Просушування  та провітрювання  насіння </t>
  </si>
  <si>
    <t xml:space="preserve">Догляд   за   звичайними   газонами </t>
  </si>
  <si>
    <t>Викошування газонів газонокосаркою</t>
  </si>
  <si>
    <t>Огляд та охорона зелених насаджень</t>
  </si>
  <si>
    <t>Заготівля  віників</t>
  </si>
  <si>
    <t>Прибирання пам"ятників</t>
  </si>
  <si>
    <t>Непередбачені  роботи</t>
  </si>
  <si>
    <t xml:space="preserve"> Об"їзд та  охорона лісу, від свавільної порубки,від пожеж</t>
  </si>
  <si>
    <t>Догляд   за   чагарниками   із   живої   загорожі</t>
  </si>
  <si>
    <t>Вартість робіт по  утриманню доріг, тротуарів, мостів</t>
  </si>
  <si>
    <t>Поточний  ремонт</t>
  </si>
  <si>
    <t>Улаштування теплиці</t>
  </si>
  <si>
    <t>-</t>
  </si>
  <si>
    <t>7. Об’єкти благоустрою та прибирання міст (зливні станції, полігони для твердих побутових відходів, сміттєперевантажувальні станції,</t>
  </si>
  <si>
    <t>8. Гідротехнічні та протизсувні споруди (штучні та природні водойми, дамби, греблі, пірси, берегові укріплення, набережні та підпірні</t>
  </si>
  <si>
    <t>8.1. Споруди водопостачання (насосні станції біля водойм для поливу, пожежні водойми, гідранти, шахтні та механічні колодязі, пункти</t>
  </si>
  <si>
    <t>8.2. Пляжі та переправи (обладнання пляжів, помости, пристані, плавучі засоби)</t>
  </si>
  <si>
    <t>Прибирання  тротуарів</t>
  </si>
  <si>
    <t xml:space="preserve">Прибирання  газонів від випадкового сміття </t>
  </si>
  <si>
    <t xml:space="preserve">Очистка металевих  урн від  сміття </t>
  </si>
  <si>
    <t>Вигрібання сміття на газонах  /весна/</t>
  </si>
  <si>
    <t>Очищення від піску:</t>
  </si>
  <si>
    <t xml:space="preserve">            - газонів при шарі до 10см</t>
  </si>
  <si>
    <t xml:space="preserve">            - живоплоту</t>
  </si>
  <si>
    <t>Навантаження  піску  вручну</t>
  </si>
  <si>
    <t>т</t>
  </si>
  <si>
    <t>Навантаження побутового   сміття  вручну</t>
  </si>
  <si>
    <t>Навантаження   листя    вручну</t>
  </si>
  <si>
    <t>Перенесення вантажу на віддаль понад 50м</t>
  </si>
  <si>
    <t xml:space="preserve">Прибирання паркової зони </t>
  </si>
  <si>
    <t>Прибирання сміття в лісосмузі ЖЕД №4</t>
  </si>
  <si>
    <t>Видалення трави та бур"яну між тротуарною плиткою</t>
  </si>
  <si>
    <t>Видалення бур"яну біля огорожі</t>
  </si>
  <si>
    <t>Згрібання трави з газонів після косіння трави</t>
  </si>
  <si>
    <t>Вигрібання  сміття та опавшого листя на газонах/осінь/</t>
  </si>
  <si>
    <t xml:space="preserve">Очищення доріжок від снігу вручну, переходи </t>
  </si>
  <si>
    <t>між широкими тротуарами та біля лавок:</t>
  </si>
  <si>
    <t xml:space="preserve">             - пухкого при товщині шару до 10см</t>
  </si>
  <si>
    <t xml:space="preserve">             - щільного  при товщині шару до 10см</t>
  </si>
  <si>
    <t>Посипання тротуарів  піском</t>
  </si>
  <si>
    <t>Змітання  снігу  з лавок при товщ.шару до 10см</t>
  </si>
  <si>
    <t>Прочищення водовідних канав для відведення  талої</t>
  </si>
  <si>
    <t>води узбіч вручну</t>
  </si>
  <si>
    <t>Непередбачені роботи</t>
  </si>
  <si>
    <t>Поточний ремонт ;</t>
  </si>
  <si>
    <t>Прибирання приміщень на 2-му поверсі</t>
  </si>
  <si>
    <t>Прибирання приміщень на 1-му поверсі</t>
  </si>
  <si>
    <t>Прибирання будок</t>
  </si>
  <si>
    <t xml:space="preserve">Прибирання території вольєрів </t>
  </si>
  <si>
    <t>Дезинфекція  приміщень,території вольєрів</t>
  </si>
  <si>
    <t>Прибирання території за вольєрами</t>
  </si>
  <si>
    <t>Перенесення води / віддаль  300м/</t>
  </si>
  <si>
    <t>л</t>
  </si>
  <si>
    <t>Посипання піском  території вольєрів</t>
  </si>
  <si>
    <t xml:space="preserve">Годування    тварин </t>
  </si>
  <si>
    <t>Збір відходів по д/с,школах,МСЧ№4</t>
  </si>
  <si>
    <t>Приготування їжі тваринам</t>
  </si>
  <si>
    <t xml:space="preserve">  Поточний ремонт:</t>
  </si>
  <si>
    <t>Вартість робіт  по  утриманню  безпритульних тварин</t>
  </si>
  <si>
    <t xml:space="preserve">                 Обвідний  канал</t>
  </si>
  <si>
    <t>Погрузка сміття вручну</t>
  </si>
  <si>
    <t>Прибирання обвідного каналу та перенесення сміття в установлене місце</t>
  </si>
  <si>
    <t>Очищення обвідного каналу від сміття,  фітопланктона, водорослів</t>
  </si>
  <si>
    <t xml:space="preserve">          Міський   фонтан </t>
  </si>
  <si>
    <t xml:space="preserve">Прибирання  бетонних доріжок </t>
  </si>
  <si>
    <t>Сапування трави між тротуарною плиткою</t>
  </si>
  <si>
    <t xml:space="preserve">Очистка  доріжок від снігу,який щойно випав  </t>
  </si>
  <si>
    <t xml:space="preserve">       - щільного снігу</t>
  </si>
  <si>
    <t xml:space="preserve">Очищення   фонтану від мулових відкладень </t>
  </si>
  <si>
    <t>т.</t>
  </si>
  <si>
    <t xml:space="preserve">Посипання піском взимку </t>
  </si>
  <si>
    <t xml:space="preserve">Очистка урн </t>
  </si>
  <si>
    <t>Поточний  ремонт  фонтану</t>
  </si>
  <si>
    <t xml:space="preserve">              Пішохідні  містки</t>
  </si>
  <si>
    <t xml:space="preserve">Прибирання  сміття  </t>
  </si>
  <si>
    <t xml:space="preserve">Очистка містків від снігу   вручну:  </t>
  </si>
  <si>
    <t xml:space="preserve">       - який щойно випав</t>
  </si>
  <si>
    <t xml:space="preserve">       - щільного снігу </t>
  </si>
  <si>
    <t xml:space="preserve">          Міський  пляж</t>
  </si>
  <si>
    <t xml:space="preserve">Прибирання  сміття  на пляжу </t>
  </si>
  <si>
    <t xml:space="preserve">Прибирання сміття на тротуарних доріжках </t>
  </si>
  <si>
    <t>Прибирання дворового туалету</t>
  </si>
  <si>
    <t>Косіння  трави</t>
  </si>
  <si>
    <t>Біління  бордюр</t>
  </si>
  <si>
    <t>100м</t>
  </si>
  <si>
    <t>Біління  дерев</t>
  </si>
  <si>
    <t xml:space="preserve">Очистка  урн  </t>
  </si>
  <si>
    <t>Очистка доріжок від снігу, який щойно випав</t>
  </si>
  <si>
    <t>Охорона  об"экта    /сторожи  /</t>
  </si>
  <si>
    <t>Закупівля:  Човна  (для  очистки обвідного каналу від сміття)</t>
  </si>
  <si>
    <t xml:space="preserve">                Старе  кладовище</t>
  </si>
  <si>
    <t>Косіння  трави вручну</t>
  </si>
  <si>
    <t>Вирубування самосійних дерев(порослі) з д. 5см</t>
  </si>
  <si>
    <t>10шт</t>
  </si>
  <si>
    <t xml:space="preserve"> Навантаження  сміття вручну</t>
  </si>
  <si>
    <t xml:space="preserve">Прибирання території кладовища  від випадкового сміття </t>
  </si>
  <si>
    <t xml:space="preserve">Очистка від снігу,який щойно випав </t>
  </si>
  <si>
    <t xml:space="preserve">               Нове  кладовище</t>
  </si>
  <si>
    <t xml:space="preserve">Косіння  трави  вручну </t>
  </si>
  <si>
    <t>Біління бордюр</t>
  </si>
  <si>
    <t xml:space="preserve">Прибирання  стоянки від сміття  </t>
  </si>
  <si>
    <t xml:space="preserve">Прибирання широких доріг </t>
  </si>
  <si>
    <t xml:space="preserve">Прибирання вузької та широкої алеї </t>
  </si>
  <si>
    <t xml:space="preserve">  -   вiд снiгу,який щойно випав                            </t>
  </si>
  <si>
    <t>Навантаження  сміття вручну</t>
  </si>
  <si>
    <t xml:space="preserve">Посипання тротуарних доріжок піском </t>
  </si>
  <si>
    <t xml:space="preserve">Прибирання сміття на території кладовища  </t>
  </si>
  <si>
    <t>Догляд та охорона території кладовища</t>
  </si>
  <si>
    <t>1.Ремонтні роботи  на кладовищі</t>
  </si>
  <si>
    <t>Вартість  робіт  всього:</t>
  </si>
  <si>
    <t>Вартість робіт всього   по  утриманню  та  ремонту  доріг, мостів  та  тротуарів</t>
  </si>
  <si>
    <t>5.      Малі архітектурні споруди (лави, урни, навіси на зупинках громадського транспорту, паркани, огорожі, альтанки, декоративні</t>
  </si>
  <si>
    <t>6.      Вуличне освітлення та зовнішні електромережі (електричне обладнання, у тому числі лінії електропередач напругою до 1000 В,</t>
  </si>
  <si>
    <t>Очищення автобусних зупинок та автостоянок від сміття і бруду</t>
  </si>
  <si>
    <t xml:space="preserve"> Очищення лiвнезбiрникiв вiд снігу  вручну ( при товщині снігового покрову до 0,25 м) </t>
  </si>
  <si>
    <t>1т</t>
  </si>
  <si>
    <t>Поточний ремонт мостів</t>
  </si>
  <si>
    <t>Косилка ранцева</t>
  </si>
  <si>
    <t>Капітальні видатки</t>
  </si>
  <si>
    <t>Зварочний генератор УААТ - 5квт</t>
  </si>
  <si>
    <t>Снігонавантажувач</t>
  </si>
  <si>
    <t>Придбання техніки для ямкового ремонту доріг</t>
  </si>
  <si>
    <t>Встановлення і ремонт дорожних знаків</t>
  </si>
  <si>
    <t>Ремонт засобів сповільнення дорожнього руху</t>
  </si>
  <si>
    <t>Ремонт металевої огорожі</t>
  </si>
  <si>
    <t>м/п</t>
  </si>
  <si>
    <t>Улаштування лівневих решіток</t>
  </si>
  <si>
    <t>Ямочний ремонт доріг</t>
  </si>
  <si>
    <t xml:space="preserve"> -</t>
  </si>
  <si>
    <t xml:space="preserve">              -</t>
  </si>
  <si>
    <t>Ремонт в"їзних знаків</t>
  </si>
  <si>
    <t xml:space="preserve"> Поточний  ремонт  вулично дорожньої мережі / КПНМРЖКО /  в т. ч</t>
  </si>
  <si>
    <t>10 дерев</t>
  </si>
  <si>
    <t xml:space="preserve"> Біління дерев</t>
  </si>
  <si>
    <t>Біління бордюр квіткових клумб</t>
  </si>
  <si>
    <t>№309</t>
  </si>
  <si>
    <t>Посів газонів</t>
  </si>
  <si>
    <t>№311</t>
  </si>
  <si>
    <t>Садіння квітів</t>
  </si>
  <si>
    <t>Садіння дерев</t>
  </si>
  <si>
    <t>№314</t>
  </si>
  <si>
    <t>100кущів</t>
  </si>
  <si>
    <t>Садіння кущів</t>
  </si>
  <si>
    <t>Вирізування сухих сучків на деревах</t>
  </si>
  <si>
    <t>1 дерево</t>
  </si>
  <si>
    <t>№313</t>
  </si>
  <si>
    <t>№315</t>
  </si>
  <si>
    <t>Мотоножиці</t>
  </si>
  <si>
    <t>Трактор 0,5т</t>
  </si>
  <si>
    <t>Причіп тракторний 2т</t>
  </si>
  <si>
    <t>Вартість робіт по  утриманню   зелених  насаджень</t>
  </si>
  <si>
    <t>Ремонтні роботи біля пам"ятника с.Нетішин</t>
  </si>
  <si>
    <t>Ремонтні роботи біля пам"ятника с.Солов"є</t>
  </si>
  <si>
    <t>Ремонт та фарбування лавок</t>
  </si>
  <si>
    <t>Контейнери</t>
  </si>
  <si>
    <t>скульптури та композиції, пам’ятники, обладнання дитячих та спортивних майданчиків, вази для квітів, фонтани та декоративні басейни)</t>
  </si>
  <si>
    <t>Трактор 1,4т</t>
  </si>
  <si>
    <t>Причіп тракторний 4т</t>
  </si>
  <si>
    <t>Сміттєвоз КО-413 /бокова загрузка/</t>
  </si>
  <si>
    <t>Капітальний ремонт  доріг по місту</t>
  </si>
  <si>
    <t>Ремонт  пішохідних містків</t>
  </si>
  <si>
    <t>Кошторис№326,325-1</t>
  </si>
  <si>
    <t>Ремонт на обвідному каналі</t>
  </si>
  <si>
    <t xml:space="preserve">    Кущоріз</t>
  </si>
  <si>
    <t>Електроенергія на вуличне освітлення</t>
  </si>
  <si>
    <t xml:space="preserve">Обслуговування зовнішних електромереж </t>
  </si>
  <si>
    <t>Вартість робіт всього  по  утриманню та ремонту  зелених  насаджень</t>
  </si>
  <si>
    <t>ЗАТВЕРДЖЕНО</t>
  </si>
  <si>
    <t>сесії міської ради</t>
  </si>
  <si>
    <t>№_____________</t>
  </si>
  <si>
    <t>рішенням_________________</t>
  </si>
  <si>
    <t>Прибирання снігу та льоду на автобусних зупинках,автостоянках на узбіччі дорги</t>
  </si>
  <si>
    <t>кошторис №525-1</t>
  </si>
  <si>
    <t>кошторис №527-1</t>
  </si>
  <si>
    <t>№316-1</t>
  </si>
  <si>
    <t>№310</t>
  </si>
  <si>
    <t>Фарбування  пішохідних містків</t>
  </si>
  <si>
    <t>Кошторис№323,323-1</t>
  </si>
  <si>
    <t>Утриманя  насосної станції  для роботи  фонтана / електроенергія/</t>
  </si>
  <si>
    <t>субвенція з обласного бюджету</t>
  </si>
  <si>
    <t>на 2011 рік</t>
  </si>
  <si>
    <t>Зняття омели з автовишки пр кількості кущів на дереві до 16-20 шт</t>
  </si>
  <si>
    <t>Зняття омели з драбини пр кількості кущів на дереві до 21-29шт</t>
  </si>
  <si>
    <t>Видалення сікатором порослі дерев</t>
  </si>
  <si>
    <t>Очищення площі від сухостійних і аварійних дерев  д=0,16-0,20м</t>
  </si>
  <si>
    <t>1м3</t>
  </si>
  <si>
    <t xml:space="preserve"> Об"їзд та  охорона лісу від свавільної порубки,від пожеж</t>
  </si>
  <si>
    <t>Догляд  зелених насаджень в зимовий період</t>
  </si>
  <si>
    <t xml:space="preserve">        Догляд  зелених насаджень в весняно-осінній період</t>
  </si>
  <si>
    <t xml:space="preserve">     Догляд   за  деревами</t>
  </si>
  <si>
    <t>Заміна  ламп</t>
  </si>
  <si>
    <t>Заміна  світильників</t>
  </si>
  <si>
    <t>Перевірка кріплення світильників</t>
  </si>
  <si>
    <t xml:space="preserve">Перевірка і випробрвування </t>
  </si>
  <si>
    <t>регулюючого апарату</t>
  </si>
  <si>
    <t>Опори залізобетонні</t>
  </si>
  <si>
    <t>Огляд та перевірка стану опори,</t>
  </si>
  <si>
    <t>Огляд і ремонт замков люка</t>
  </si>
  <si>
    <t>Нумерація опор</t>
  </si>
  <si>
    <t>Опори металеві</t>
  </si>
  <si>
    <t>Огляд та перевірка стану опори</t>
  </si>
  <si>
    <t>Рихтовка цоколя,змазка затяжних</t>
  </si>
  <si>
    <t>болтів цоколя,</t>
  </si>
  <si>
    <t>Електрична мережа кабельна</t>
  </si>
  <si>
    <t>Огляд і профілактичний  ремонт,</t>
  </si>
  <si>
    <t>випробування кабеля</t>
  </si>
  <si>
    <t>Виконуючий пункт ТК РП</t>
  </si>
  <si>
    <t>чистка апаратури,перевірка реле,</t>
  </si>
  <si>
    <t>правильність регулювання контакт-</t>
  </si>
  <si>
    <t>ної системи і стан котушок</t>
  </si>
  <si>
    <t>Пункт включення  /шафа/</t>
  </si>
  <si>
    <t xml:space="preserve">Перевірка стану освітлення </t>
  </si>
  <si>
    <t>в вечірній час</t>
  </si>
  <si>
    <t>Світильники з лампами високого тиску типу ДРЛ при роботі  з автовишки</t>
  </si>
  <si>
    <t>1 світ</t>
  </si>
  <si>
    <t>1 опора</t>
  </si>
  <si>
    <t>1 км</t>
  </si>
  <si>
    <t>1 ВП</t>
  </si>
  <si>
    <t>1ПВ</t>
  </si>
  <si>
    <t>1км</t>
  </si>
  <si>
    <t>Очищення пляжу від випадкового сміття</t>
  </si>
  <si>
    <t>Очищення спортплощадки від випадкового сміття</t>
  </si>
  <si>
    <t>Очищення газонів від випадкового сміття</t>
  </si>
  <si>
    <t>№265</t>
  </si>
  <si>
    <t>№266</t>
  </si>
  <si>
    <t>№267</t>
  </si>
  <si>
    <t>№271</t>
  </si>
  <si>
    <t>№272</t>
  </si>
  <si>
    <t>Ремонтні роботи біля пам"ятника загиблим єврейським юнакам та дівчатам</t>
  </si>
  <si>
    <t>№273</t>
  </si>
  <si>
    <t>№274</t>
  </si>
  <si>
    <t>№276</t>
  </si>
  <si>
    <t xml:space="preserve">Поточний ремонт </t>
  </si>
  <si>
    <t>1. Воль"єр  для  тварин</t>
  </si>
  <si>
    <t>Коштор№350</t>
  </si>
  <si>
    <t>Посипання покриття протиожеледним матеріалом вручну з рухомого механізму</t>
  </si>
  <si>
    <t xml:space="preserve"> /внутрідворові вулиці,та автомобільні стоянки/</t>
  </si>
  <si>
    <t>Дільниця №1</t>
  </si>
  <si>
    <t>Дільниця №2</t>
  </si>
  <si>
    <t>Дільниця №3</t>
  </si>
  <si>
    <t>Дільниця №4</t>
  </si>
  <si>
    <t>Прибирання снігу та льоду на автобусних зупинках,автостоянках,на узбіччі дороги</t>
  </si>
  <si>
    <t>кошторис №362,363</t>
  </si>
  <si>
    <t>Розмітка пішохідних переходів</t>
  </si>
  <si>
    <t>Ремонт підпірної стіни по вул Будівельників</t>
  </si>
  <si>
    <t>Улаштування лівневих решіток,кришок на колодязі дощової каналізаціі</t>
  </si>
  <si>
    <t>Кошторис №430,431</t>
  </si>
  <si>
    <t>Вартість робіт  по  утриманню  та ремонту кладовища</t>
  </si>
  <si>
    <t>від _____________________ 2011р</t>
  </si>
  <si>
    <t>Ремонт спортивного майданчика по вул Варшавська</t>
  </si>
  <si>
    <t>№530</t>
  </si>
  <si>
    <t>Вартість  робіт  всього по утриманню та ремонту пляжу,мостків,фонтану,обвідного каналу</t>
  </si>
  <si>
    <t>Разом   по  благоустрою міста</t>
  </si>
  <si>
    <t>Ямковий ремонт доріг по вул Шевченка</t>
  </si>
  <si>
    <t>Укріплення   дорожних знаків /бетонна підготовка/</t>
  </si>
  <si>
    <t>Холодне фрезерування дороги по вул Шевченка  /підрядчик/</t>
  </si>
  <si>
    <t>Вартість робіт по  утриманню та ремонту   доріг, тротуарів, мостів</t>
  </si>
  <si>
    <t>Нанесення горизонтальної розмітки  на пішохідних переходах</t>
  </si>
  <si>
    <t>Улаштування елементів перешеод вуличного руху</t>
  </si>
  <si>
    <t>Бетонування по вул Михайлова,Старонетішинська,Миру</t>
  </si>
  <si>
    <t xml:space="preserve">Встановлення дорожних знаків </t>
  </si>
  <si>
    <t>Поточний ремонт  доріг  міста  / підрядчик/</t>
  </si>
  <si>
    <t>Капітальний ремонт  доріг  міста  /підрядчик/</t>
  </si>
  <si>
    <t xml:space="preserve">Бетонування  дороги по вул Незалежності   </t>
  </si>
  <si>
    <t>КПНМРЖКО</t>
  </si>
  <si>
    <t>підрядчик</t>
  </si>
  <si>
    <t>Виконавець</t>
  </si>
  <si>
    <t>Субвенція з обласного бюджету</t>
  </si>
  <si>
    <t>Біління бордюр  по місту</t>
  </si>
  <si>
    <t>Фарбування  огорож, грат біля пам"ятника "Єврейським дівчатам  та юнакам"</t>
  </si>
  <si>
    <t>Ремонт та фарбування дерев"яних  лавок,урн</t>
  </si>
  <si>
    <t>Ремонт підпірної стіни /пам"ятник "Прапор Незалежності"/</t>
  </si>
  <si>
    <t>Виконано робіт та профінансовано  /тис.грн/</t>
  </si>
  <si>
    <t>Ремонт дерев"яних лавок біля фонтану</t>
  </si>
  <si>
    <t>Кошторис№325-3,325</t>
  </si>
  <si>
    <t>ЗВІТ</t>
  </si>
  <si>
    <t>Кошторис</t>
  </si>
  <si>
    <t>№321-1</t>
  </si>
  <si>
    <t>№317</t>
  </si>
  <si>
    <t>№320</t>
  </si>
  <si>
    <t>№318</t>
  </si>
  <si>
    <t>№319</t>
  </si>
  <si>
    <t>№322</t>
  </si>
  <si>
    <t>за 2010 рік</t>
  </si>
  <si>
    <t>Вартість  робіт  всього по прибиранню благоустрою міста</t>
  </si>
  <si>
    <t>Вартість  робіт по  утриманню благоустрою міста</t>
  </si>
  <si>
    <t>Вартість  робіт  всього по утриманню безпритульних тварин</t>
  </si>
  <si>
    <t>Вартість  робіт  всього по утриманню та ремонту мостків, фонтанів,обвідного  каналу</t>
  </si>
  <si>
    <t>Вартість робіт по утриманню мостків ,фонтанів,обвідного каналу</t>
  </si>
  <si>
    <t xml:space="preserve"> 3 місяці</t>
  </si>
  <si>
    <t>Вартість   робіт   по  утриманню    кладовища</t>
  </si>
  <si>
    <t>№324-1</t>
  </si>
  <si>
    <t>Поточний ремонт "Фарбування бордюр"</t>
  </si>
  <si>
    <t>РАЗОМ</t>
  </si>
  <si>
    <t>Ремонт елементів перешкод вуличного руху</t>
  </si>
  <si>
    <t>Ремонт металевих огорож,</t>
  </si>
  <si>
    <t>Поточний  ремонт в т.ч.</t>
  </si>
  <si>
    <t>Поточний ремонт в т.ч.</t>
  </si>
  <si>
    <t>Вартість робіт  всього по утриманню та ремонту робіт на кладовищі</t>
  </si>
  <si>
    <t>Норма год на од вимір</t>
  </si>
  <si>
    <t>Періодичність</t>
  </si>
  <si>
    <t>Вартість послуг /грн/</t>
  </si>
  <si>
    <t>Чергування в  святкові дні при зимовому  утриманні доріг</t>
  </si>
  <si>
    <t>Разом</t>
  </si>
  <si>
    <t>Ремонт робочого інвентаря</t>
  </si>
  <si>
    <t xml:space="preserve"> Чистка світильників</t>
  </si>
  <si>
    <t xml:space="preserve">Поточний  ремонт  </t>
  </si>
  <si>
    <t>Фарбування дерев"яних лавок біля міськвикокому</t>
  </si>
  <si>
    <t>№280</t>
  </si>
  <si>
    <t>Прибирання  майданчика для транспорту</t>
  </si>
  <si>
    <t>Разом   по  зовнішньому освітленні</t>
  </si>
  <si>
    <t>Вирізування сухого гілля  на деревах та кущах</t>
  </si>
  <si>
    <t>Посадка  кущів</t>
  </si>
  <si>
    <t>Омоложення живоплоту</t>
  </si>
  <si>
    <t>Коштор №279</t>
  </si>
  <si>
    <t>Електроенергія для утримання  фонтану</t>
  </si>
  <si>
    <t xml:space="preserve"> Прикрашання міської Новорічної ялинки /ялинкові прикраси/</t>
  </si>
  <si>
    <t>Всього</t>
  </si>
  <si>
    <t>Поточний ремонт разом по утриманню пляжу.мостків. Фонтану</t>
  </si>
  <si>
    <t>Всього трудовитрат л/год</t>
  </si>
  <si>
    <t>Електроенергія  мереж  вуличного  освітлення</t>
  </si>
  <si>
    <t>коштор№410</t>
  </si>
  <si>
    <t>коштор №415</t>
  </si>
  <si>
    <t>коштор №360</t>
  </si>
  <si>
    <t>коштор №408</t>
  </si>
  <si>
    <t>коштор №412</t>
  </si>
  <si>
    <t>коштор №409</t>
  </si>
  <si>
    <t>коштор№407</t>
  </si>
  <si>
    <t>коштор№361</t>
  </si>
  <si>
    <t>Коштор №277</t>
  </si>
  <si>
    <t>Кошт№280-1</t>
  </si>
  <si>
    <t>Коштор №278</t>
  </si>
  <si>
    <t>Коштор №351</t>
  </si>
  <si>
    <t>Коштор №349</t>
  </si>
  <si>
    <t>АГП - 22 - роботи по обрізці дерев,зняття омели</t>
  </si>
  <si>
    <t>Т-16 - перевезення вапна,матеріалів,води</t>
  </si>
  <si>
    <t>КО- 713 - полив зелених насаджень</t>
  </si>
  <si>
    <t>Т-16 -Очищення доріг,широких тротуарів від снігу</t>
  </si>
  <si>
    <t>Т-156 - Погрузка протиожеледного матеріалу на  Т-150РУМ, Т-40</t>
  </si>
  <si>
    <t>ТО-30 - Погрузка протиожеледного матеріалу,сміття на атотранспорт</t>
  </si>
  <si>
    <t>ЗІЛ - Перевезення піску</t>
  </si>
  <si>
    <t>Т-16 - перевезення вапна,фарби,лавок,бруса</t>
  </si>
  <si>
    <t>ТО - 30 - погрузка  сміття,піску</t>
  </si>
  <si>
    <t>ГАЗ- 33 перевезення людей</t>
  </si>
  <si>
    <t>АГП-22  - Обслуговування та ремонт мереж вуличного освітлення</t>
  </si>
  <si>
    <t>Т-16 - Перевезення їжі для безпритульних тварин</t>
  </si>
  <si>
    <t>МТЗ-80 викошування трави</t>
  </si>
  <si>
    <t>САК - зварювальні роботи</t>
  </si>
  <si>
    <t>ТО-30 - погрузка сміття</t>
  </si>
  <si>
    <t>САК зварювальні роботи</t>
  </si>
  <si>
    <t xml:space="preserve">Т-40 - вивіз сміття </t>
  </si>
  <si>
    <t>Т-40 -вивіз сміття,піску</t>
  </si>
  <si>
    <t>Т-156 -  погрузка  сміття, піску</t>
  </si>
  <si>
    <t>Монтаж та демонтаж новорічної ялинки</t>
  </si>
  <si>
    <t>Т-16 Підмітання доріг,широких тротуарів весняно-осінній період</t>
  </si>
  <si>
    <t>Т- 150 (РУМ) посипання доріг протиожеледним мтеріалом в зимовий період</t>
  </si>
  <si>
    <t>Т-40 -Посипання широких тротуарів протиожеледним матеріалом в зимовий період</t>
  </si>
  <si>
    <t>кошт№410</t>
  </si>
  <si>
    <t>кошт №415</t>
  </si>
  <si>
    <t>кошт №360</t>
  </si>
  <si>
    <t>кошт №408</t>
  </si>
  <si>
    <t>кошт №412</t>
  </si>
  <si>
    <t>кошт №409</t>
  </si>
  <si>
    <t>кошт №362,363</t>
  </si>
  <si>
    <t>кошт№407</t>
  </si>
  <si>
    <t>кошт№361</t>
  </si>
  <si>
    <t>м/год</t>
  </si>
  <si>
    <t>Посадка квітів</t>
  </si>
  <si>
    <t>Поточний  ремонт   /Насосна міського фонтану/</t>
  </si>
  <si>
    <t>Доставка монтаж демонтаж міської новорічної ялинки</t>
  </si>
  <si>
    <t>Наклеювання  плакатів, бігбордів</t>
  </si>
  <si>
    <t>Встановлення  прапорців</t>
  </si>
  <si>
    <t>Непередбачені    роботи  /крім того/</t>
  </si>
  <si>
    <t>АГП 22 - наклеювання бігбордів,плакатів,монтаж сцени</t>
  </si>
  <si>
    <t>Монтаж  естрадної  сцени</t>
  </si>
  <si>
    <t>КО-713 - Очищення доріг від пилу та бруду автополивальною машиною,миття біотуалетів</t>
  </si>
  <si>
    <t>Т-25 - Превезення зварювального апарату,матеріалів</t>
  </si>
  <si>
    <t>Всього трудовитрат /л/год/</t>
  </si>
  <si>
    <t>Газ -33  - перевезення садженців дерев,розсади,матеріалів,перевезення людей</t>
  </si>
  <si>
    <t>ЗІЛ -  завезення рослинного грунту</t>
  </si>
  <si>
    <t>Т-25 перевезення вапна,фарби,матеріалів,зварювального апарату</t>
  </si>
  <si>
    <t>МТЗ-80 вивіз  сміття,піску,викошування трави</t>
  </si>
  <si>
    <t xml:space="preserve">Мотоножиці </t>
  </si>
  <si>
    <t>Кошт №277</t>
  </si>
  <si>
    <t>Кошт №278</t>
  </si>
  <si>
    <t>Кошт №349</t>
  </si>
  <si>
    <t>Поточний  ремонт  фонтана</t>
  </si>
  <si>
    <t>Кошт№427</t>
  </si>
  <si>
    <t>Кошт №279</t>
  </si>
  <si>
    <t>Поточний ремонт  на пляжі</t>
  </si>
  <si>
    <t>Разом утримання</t>
  </si>
  <si>
    <t>Кошт№350</t>
  </si>
  <si>
    <t>Капітальний ремонт АГП -22</t>
  </si>
  <si>
    <t>Встановлення  біотуалетів</t>
  </si>
  <si>
    <t>Поточний ремонт разом по утриманню пляжу,мостків, фонтану</t>
  </si>
  <si>
    <t xml:space="preserve"> Механізовані та ремонтні роботи   </t>
  </si>
  <si>
    <t xml:space="preserve"> Механізовані та ремонтні роботи  </t>
  </si>
  <si>
    <t xml:space="preserve">Механізовані та ремонтні роботи </t>
  </si>
  <si>
    <t xml:space="preserve"> Механізовані та ремонтні роботи</t>
  </si>
  <si>
    <t>Дорога до нового кладовища</t>
  </si>
  <si>
    <t>Дорога до хлібзаводу</t>
  </si>
  <si>
    <t>Вул Підгірна</t>
  </si>
  <si>
    <t>Очищення територіі на узбіччі дороги від випадкового сміття при</t>
  </si>
  <si>
    <t xml:space="preserve">Обрізка та прорідження кущів </t>
  </si>
  <si>
    <t>Обрізка та прорідження сухого гілля на деревах</t>
  </si>
  <si>
    <t>вул Млинова</t>
  </si>
  <si>
    <t>пров Зелений</t>
  </si>
  <si>
    <t>великій засміченості       /дорога до сміттєзвалища/</t>
  </si>
  <si>
    <t>Очищення пішохідних тротуарів від снігу вручну</t>
  </si>
  <si>
    <t>Посипання покриття протиожеледним матеріалом вручну з рухомого механізму /внутрідворові вулиці та автостоянки/</t>
  </si>
  <si>
    <t>ЗМІНИ  ДО  ЗАХОДІВ</t>
  </si>
  <si>
    <t>ТО-30  - видаленя аврійних дерев,погрузка  зрізаних дерев</t>
  </si>
  <si>
    <t>Поточний ремонт  /матеріали/</t>
  </si>
  <si>
    <t>Вартість робіт всього  по  утриманню доріг, тротуарів, мостів</t>
  </si>
  <si>
    <t>Вартість робіт всього  по  утриманню  зелених насаджень</t>
  </si>
  <si>
    <t>Вартість робіт всього  по прибиранню благоустрою міста</t>
  </si>
  <si>
    <t>Вартість робіт всього  по утриманню  мереж зовнішнього освітлення</t>
  </si>
  <si>
    <t>Вартість робіт  всього  по  утриманню  безпритульних тварин</t>
  </si>
  <si>
    <t xml:space="preserve">Разом </t>
  </si>
  <si>
    <t>Вартість  робіт  по утриманню та ремонту пляжу,мостків,фонтану,обвідного каналу</t>
  </si>
  <si>
    <t>Засипка ям, траншей піском вручну на грунтових дорогах</t>
  </si>
  <si>
    <t>Огляд і ремонт замків люка</t>
  </si>
  <si>
    <t>Рихтовка цоколя,змазка затяжних болтів цоколя</t>
  </si>
  <si>
    <t>правильність регулювання контактної системи і стан котушок</t>
  </si>
  <si>
    <t>Огляд і профілактичний  ремонт</t>
  </si>
  <si>
    <t xml:space="preserve"> вручну від  нанесеного грунту в рухаючий механiзм на мостах</t>
  </si>
  <si>
    <t xml:space="preserve"> Очищення проїжджої частини дорiг,тротуарних доріжок бiля бордюрiв </t>
  </si>
  <si>
    <t>пр Незалежності</t>
  </si>
  <si>
    <t>вул Будівельників</t>
  </si>
  <si>
    <t xml:space="preserve"> Очищення   тротуарних доріжок від снігу  та льоду  на  мостах</t>
  </si>
  <si>
    <t>Ремонт , фарбування лавок та встановлення урн для  сміття</t>
  </si>
  <si>
    <t>Прибирання стоянки від сміття</t>
  </si>
  <si>
    <t>Т-40 -вивіз сміття,листя,сіна,завезення гілля  берези на виготовлення віників</t>
  </si>
  <si>
    <t>Т-40 -  вивіз сміття,сіна,завезення гілля  берези для виготовлення віників</t>
  </si>
  <si>
    <t>Т-40- Вивіз сміття,піску, завезення гілля берези для виготовлення  віників</t>
  </si>
  <si>
    <t>ГАЗ-33 -   Перевезення людей,матеріалів</t>
  </si>
  <si>
    <t>МТЗ - 80 -        вивіз сухого  гілля,      відведення захисної межі в лісі, викошування газонів міста</t>
  </si>
  <si>
    <t xml:space="preserve"> Прикрашання міської Новорічної ялинки /ялинкові прикраси,автопослуги сторон орг/</t>
  </si>
  <si>
    <t>Облуговування мереж  вуличного  освітлення</t>
  </si>
  <si>
    <t>Ремонтні роботи  на кладовищі</t>
  </si>
  <si>
    <t xml:space="preserve"> Очищення лiвнезбiрникiв вiд сніг  вручну  при товщині снігового покрову до 0,25 м) </t>
  </si>
  <si>
    <t>Кошт№269</t>
  </si>
  <si>
    <t>Кошт№268</t>
  </si>
  <si>
    <t>Кошт№263</t>
  </si>
  <si>
    <t>Кошт№264</t>
  </si>
  <si>
    <t>Кошт№270</t>
  </si>
  <si>
    <t>Вартість робіт  всього  по  утриманню   кладовища</t>
  </si>
  <si>
    <t>Експертна  оцінка садибної забудови доріг</t>
  </si>
  <si>
    <t>Влаштування освітлення в"їздного знаку</t>
  </si>
  <si>
    <t xml:space="preserve"> Прочистка  світильників</t>
  </si>
  <si>
    <t>Кошт №351,295</t>
  </si>
  <si>
    <t>Пункт  приймання безпритульних  тварин</t>
  </si>
  <si>
    <t>Матеріали, послуги, заробітна плата рятувальної служби на пляжі</t>
  </si>
  <si>
    <t>Розрахунок</t>
  </si>
  <si>
    <t>Придбання:  Човен  черговий  рятувальний</t>
  </si>
  <si>
    <t>затверджено</t>
  </si>
  <si>
    <t>додатково</t>
  </si>
  <si>
    <t>Т-156 - Погрузка піску на автранспорт</t>
  </si>
  <si>
    <t>ГАЗ-33 -   Перевезення робітників,матеріалів,інструментів</t>
  </si>
  <si>
    <t>Т-25 - Превезення зварювального апарату,матеріалів,вивіз сміття</t>
  </si>
  <si>
    <t>ТО-30 - Погрузка сміття, піску,відсіву,підготовка пісчано-сольової суміші</t>
  </si>
  <si>
    <t>АГП 22 - наклеювання бігбордів,плакатів,монтаж сцени,ремонт в"їздних знаків</t>
  </si>
  <si>
    <t>Компресор - Демонтаж бетонного покриття</t>
  </si>
  <si>
    <t>ГАЗ- 33 перевезення робітників</t>
  </si>
  <si>
    <t>Т-40 -  вивіз листя,гілля, ,завезення гілля  берези для виготовлення віників</t>
  </si>
  <si>
    <t>Газ -33  - перевезення садженців дерев,розсади,матеріалів,перевезення робітників</t>
  </si>
  <si>
    <t>МТЗ-80 викошування трави,перевезення сміття</t>
  </si>
  <si>
    <t>ТО- 30 погрузка  сміття, піску</t>
  </si>
  <si>
    <t>Профінансовано /грн/</t>
  </si>
  <si>
    <t>ще буде спис і закласти зарплату</t>
  </si>
  <si>
    <t>Ремонт в"їзних знаків зі сторони м.Славути та м.Острога</t>
  </si>
  <si>
    <t>звірено</t>
  </si>
  <si>
    <t>поточний ремонт</t>
  </si>
  <si>
    <t>Прибирання бетонної доріжки від сміття</t>
  </si>
  <si>
    <t>Видалення трави та бур"яну  біля  бордюра</t>
  </si>
  <si>
    <t>Прибирання газонів від випадкового сміття</t>
  </si>
  <si>
    <t>Сапування  трави та бур"яну між тротуарною плиткою</t>
  </si>
  <si>
    <t>Прочищення водовідних канав для відведення  талої води узбіч,вручну</t>
  </si>
  <si>
    <t>Збір харчових відходів по д/с,школах,МСЧ№4</t>
  </si>
  <si>
    <t>Т-40 -вивіз сміття,листя,сіна,завезення піску</t>
  </si>
  <si>
    <t>Т-16 перевезення вапна,фарби,матеріалів,зварювального апарату</t>
  </si>
  <si>
    <t>ТО-30 - погрузка сміття,піску</t>
  </si>
  <si>
    <t>Придбання:  Човен  для очищення обвідного каналу від сміття</t>
  </si>
  <si>
    <t>МТЗ-80 вивіз  сміття,викошування трави</t>
  </si>
  <si>
    <t>ЗІЛ  - Завезення піску</t>
  </si>
  <si>
    <t>МТЗ- 80 -вивіз сміття,листя,сіна,завезення  піску</t>
  </si>
  <si>
    <t>Прибирання територіі міста</t>
  </si>
  <si>
    <t xml:space="preserve">  ЗАХОДИ</t>
  </si>
  <si>
    <t>на 2012 рік</t>
  </si>
  <si>
    <t xml:space="preserve">Разом   </t>
  </si>
  <si>
    <t>Перевірка стану освітлення   в  вечірниі час</t>
  </si>
  <si>
    <t>Поточний ремонт  мереж вуличного освітлення</t>
  </si>
  <si>
    <t xml:space="preserve">Вартість робіт всього  </t>
  </si>
  <si>
    <t>Капітальні видатки:</t>
  </si>
  <si>
    <t>Кущоріз 343 РХ</t>
  </si>
  <si>
    <t xml:space="preserve"> Поточний  ремонт  вулично дорожньої мережі</t>
  </si>
  <si>
    <t>Т-16 - Перевезення харчових відходів  для безпритульних тварин</t>
  </si>
  <si>
    <t>випробовування кабеля</t>
  </si>
  <si>
    <t>Заготівля березових гілок та в"язання   віників</t>
  </si>
  <si>
    <t>№399</t>
  </si>
  <si>
    <t>№400</t>
  </si>
  <si>
    <t>№401</t>
  </si>
  <si>
    <t>Ремонтні роботи біля пам"ятника голодомору</t>
  </si>
  <si>
    <t>№402</t>
  </si>
  <si>
    <t>Підпірна  стіна по вул Будівельників</t>
  </si>
  <si>
    <t>№405</t>
  </si>
  <si>
    <t>№404</t>
  </si>
  <si>
    <t>Кошт №398</t>
  </si>
  <si>
    <t>№408</t>
  </si>
  <si>
    <t>Кошт№409</t>
  </si>
  <si>
    <t>№413</t>
  </si>
  <si>
    <t>№412</t>
  </si>
  <si>
    <t>Кошт№414</t>
  </si>
  <si>
    <t>Кошт№415</t>
  </si>
  <si>
    <t>№416</t>
  </si>
  <si>
    <t>Кошт №403</t>
  </si>
  <si>
    <t>№423</t>
  </si>
  <si>
    <t>Кошт №420</t>
  </si>
  <si>
    <t>Ремонт, фарбування лавок та встановлення урн для  сміття</t>
  </si>
  <si>
    <t>Біління  бордюр по місту</t>
  </si>
  <si>
    <t>ТО-30 - Чистка доріг від снігу,погрузка снігу на автронспорт</t>
  </si>
  <si>
    <t>Засипка ям, траншей піском вручну, на грунтових дорогах</t>
  </si>
  <si>
    <t>кошт №427</t>
  </si>
  <si>
    <t>кошт№431</t>
  </si>
  <si>
    <t>кошт №425</t>
  </si>
  <si>
    <t>кошт №433</t>
  </si>
  <si>
    <t>кошт№426</t>
  </si>
  <si>
    <t>Ремонт в"їзного знаку  зі сторони Осторга</t>
  </si>
  <si>
    <t>Ремонт в"їзного знаку  зі сторони Славута</t>
  </si>
  <si>
    <t>кошт №428</t>
  </si>
  <si>
    <t>кошт №429</t>
  </si>
  <si>
    <t>кошт№430</t>
  </si>
  <si>
    <t>Ремонт засобів зменшення  дорожнього руху</t>
  </si>
  <si>
    <t>кошт №434</t>
  </si>
  <si>
    <t>Кошт№410</t>
  </si>
  <si>
    <t>Сівба  квітів</t>
  </si>
  <si>
    <t>Поточний ремонт по вул Космонавтів</t>
  </si>
  <si>
    <t>Поточний ремонт пр Зелений</t>
  </si>
  <si>
    <t xml:space="preserve">Поточний ремонт дороги до нового кладовища </t>
  </si>
  <si>
    <t>Поточний ремонт по вул Млинова</t>
  </si>
  <si>
    <t>Поточний ремонт бетонної доріжки від м.Нетішин до ХАЕС</t>
  </si>
  <si>
    <t>кошт№438</t>
  </si>
  <si>
    <t>кошт№439</t>
  </si>
  <si>
    <t>кошт№440</t>
  </si>
  <si>
    <t>кошт№441</t>
  </si>
  <si>
    <t>кошт№442</t>
  </si>
  <si>
    <t>Капітальний ремонт  вул Снігурі</t>
  </si>
  <si>
    <t xml:space="preserve">Сміттєвоз КО-413 </t>
  </si>
  <si>
    <t>Кошт №327</t>
  </si>
  <si>
    <t xml:space="preserve">  Поточний ремонт:  РБР</t>
  </si>
  <si>
    <t>кошт №432</t>
  </si>
  <si>
    <t>Вартість робіт всього  по  утриманню   зелених  насаджень</t>
  </si>
  <si>
    <t xml:space="preserve">Разом  обслуговування </t>
  </si>
  <si>
    <t>Вартість робіт всього  обслуговування  та  ремонт</t>
  </si>
  <si>
    <t>Разом обслуговування</t>
  </si>
  <si>
    <t>Вартість  робіт  по утриманню  пляжу,мостків,фонтану,обвідного каналу</t>
  </si>
  <si>
    <t>Вартість робіт всього   по  утриманню  доріг, мостів  та  тротуарів</t>
  </si>
  <si>
    <t>Посів  газонів</t>
  </si>
  <si>
    <t>Вартість робіт  по  утриманню   кладовища</t>
  </si>
  <si>
    <t>від _____________________ 2012р</t>
  </si>
  <si>
    <t>рішенням шістнадцятої сесії</t>
  </si>
  <si>
    <t>Нетішинської міської ради</t>
  </si>
  <si>
    <t>Додаток   2</t>
  </si>
  <si>
    <t>11.11.2011 № 16 /325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</si>
</sst>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0.00000000"/>
    <numFmt numFmtId="174" formatCode="0.0000000"/>
    <numFmt numFmtId="175" formatCode="0.000000000"/>
    <numFmt numFmtId="176" formatCode="0.0000000000"/>
  </numFmts>
  <fonts count="31">
    <font>
      <sz val="10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2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68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2" fontId="7" fillId="0" borderId="1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2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justify"/>
    </xf>
    <xf numFmtId="1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2" fontId="7" fillId="0" borderId="10" xfId="0" applyNumberFormat="1" applyFont="1" applyBorder="1" applyAlignment="1">
      <alignment horizontal="left" wrapText="1"/>
    </xf>
    <xf numFmtId="2" fontId="7" fillId="0" borderId="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justify"/>
    </xf>
    <xf numFmtId="0" fontId="2" fillId="0" borderId="10" xfId="0" applyFont="1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0" xfId="0" applyNumberFormat="1" applyFont="1" applyAlignment="1">
      <alignment/>
    </xf>
    <xf numFmtId="170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171" fontId="7" fillId="0" borderId="10" xfId="0" applyNumberFormat="1" applyFont="1" applyBorder="1" applyAlignment="1">
      <alignment horizontal="center" vertical="top" wrapText="1"/>
    </xf>
    <xf numFmtId="171" fontId="6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center" wrapText="1"/>
    </xf>
    <xf numFmtId="1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left" wrapText="1"/>
    </xf>
    <xf numFmtId="2" fontId="6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" fontId="6" fillId="0" borderId="10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170" fontId="7" fillId="0" borderId="10" xfId="0" applyNumberFormat="1" applyFont="1" applyBorder="1" applyAlignment="1">
      <alignment horizontal="center" vertical="top" wrapText="1"/>
    </xf>
    <xf numFmtId="169" fontId="6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170" fontId="7" fillId="0" borderId="0" xfId="0" applyNumberFormat="1" applyFont="1" applyBorder="1" applyAlignment="1">
      <alignment/>
    </xf>
    <xf numFmtId="168" fontId="7" fillId="0" borderId="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168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4" xfId="0" applyFont="1" applyBorder="1" applyAlignment="1">
      <alignment/>
    </xf>
    <xf numFmtId="171" fontId="6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2" fontId="11" fillId="0" borderId="10" xfId="0" applyNumberFormat="1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2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wrapText="1"/>
    </xf>
    <xf numFmtId="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 vertical="top" wrapText="1"/>
    </xf>
    <xf numFmtId="171" fontId="6" fillId="0" borderId="0" xfId="0" applyNumberFormat="1" applyFont="1" applyFill="1" applyBorder="1" applyAlignment="1">
      <alignment horizontal="right" vertical="top" wrapText="1"/>
    </xf>
    <xf numFmtId="1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right" vertical="top" wrapText="1"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/>
    </xf>
    <xf numFmtId="168" fontId="6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68" fontId="7" fillId="0" borderId="10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16" fontId="6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justify"/>
    </xf>
    <xf numFmtId="0" fontId="6" fillId="0" borderId="10" xfId="0" applyFont="1" applyFill="1" applyBorder="1" applyAlignment="1">
      <alignment horizontal="left" vertical="center"/>
    </xf>
    <xf numFmtId="2" fontId="0" fillId="0" borderId="10" xfId="0" applyNumberForma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wrapText="1"/>
    </xf>
    <xf numFmtId="1" fontId="7" fillId="0" borderId="11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" fontId="6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center" vertical="top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12" fillId="0" borderId="10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68" fontId="6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/>
    </xf>
    <xf numFmtId="171" fontId="2" fillId="0" borderId="10" xfId="0" applyNumberFormat="1" applyFont="1" applyFill="1" applyBorder="1" applyAlignment="1">
      <alignment horizontal="center" vertical="top" wrapText="1"/>
    </xf>
    <xf numFmtId="171" fontId="2" fillId="0" borderId="10" xfId="0" applyNumberFormat="1" applyFont="1" applyFill="1" applyBorder="1" applyAlignment="1">
      <alignment horizontal="center" vertical="center"/>
    </xf>
    <xf numFmtId="171" fontId="6" fillId="0" borderId="0" xfId="0" applyNumberFormat="1" applyFont="1" applyFill="1" applyAlignment="1">
      <alignment/>
    </xf>
    <xf numFmtId="171" fontId="7" fillId="0" borderId="10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top" wrapText="1"/>
    </xf>
    <xf numFmtId="171" fontId="7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wrapText="1"/>
    </xf>
    <xf numFmtId="0" fontId="6" fillId="17" borderId="10" xfId="0" applyFont="1" applyFill="1" applyBorder="1" applyAlignment="1">
      <alignment/>
    </xf>
    <xf numFmtId="0" fontId="6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1" fontId="0" fillId="17" borderId="10" xfId="0" applyNumberFormat="1" applyFill="1" applyBorder="1" applyAlignment="1">
      <alignment horizontal="center"/>
    </xf>
    <xf numFmtId="1" fontId="6" fillId="17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/>
    </xf>
    <xf numFmtId="4" fontId="6" fillId="17" borderId="11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vertical="center"/>
    </xf>
    <xf numFmtId="2" fontId="6" fillId="24" borderId="10" xfId="0" applyNumberFormat="1" applyFont="1" applyFill="1" applyBorder="1" applyAlignment="1">
      <alignment horizontal="center" vertical="center"/>
    </xf>
    <xf numFmtId="2" fontId="7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171" fontId="7" fillId="24" borderId="10" xfId="0" applyNumberFormat="1" applyFont="1" applyFill="1" applyBorder="1" applyAlignment="1">
      <alignment horizontal="center" vertical="center"/>
    </xf>
    <xf numFmtId="4" fontId="7" fillId="24" borderId="11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1" fontId="7" fillId="24" borderId="10" xfId="0" applyNumberFormat="1" applyFont="1" applyFill="1" applyBorder="1" applyAlignment="1">
      <alignment horizontal="center" vertical="top" wrapText="1"/>
    </xf>
    <xf numFmtId="0" fontId="7" fillId="17" borderId="14" xfId="0" applyFont="1" applyFill="1" applyBorder="1" applyAlignment="1">
      <alignment/>
    </xf>
    <xf numFmtId="0" fontId="6" fillId="17" borderId="10" xfId="0" applyFont="1" applyFill="1" applyBorder="1" applyAlignment="1">
      <alignment horizontal="center" vertical="top" wrapText="1"/>
    </xf>
    <xf numFmtId="2" fontId="7" fillId="17" borderId="10" xfId="0" applyNumberFormat="1" applyFont="1" applyFill="1" applyBorder="1" applyAlignment="1">
      <alignment horizontal="center" vertical="top" wrapText="1"/>
    </xf>
    <xf numFmtId="4" fontId="7" fillId="17" borderId="11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/>
    </xf>
    <xf numFmtId="0" fontId="7" fillId="0" borderId="29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5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6" fillId="0" borderId="24" xfId="0" applyFont="1" applyBorder="1" applyAlignment="1">
      <alignment/>
    </xf>
    <xf numFmtId="0" fontId="7" fillId="0" borderId="2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287"/>
  <sheetViews>
    <sheetView zoomScalePageLayoutView="0" workbookViewId="0" topLeftCell="A1">
      <selection activeCell="H176" sqref="H176"/>
    </sheetView>
  </sheetViews>
  <sheetFormatPr defaultColWidth="9.00390625" defaultRowHeight="12.75"/>
  <cols>
    <col min="1" max="1" width="3.00390625" style="15" customWidth="1"/>
    <col min="2" max="2" width="64.125" style="15" customWidth="1"/>
    <col min="3" max="3" width="9.25390625" style="15" customWidth="1"/>
    <col min="4" max="4" width="10.375" style="15" customWidth="1"/>
    <col min="5" max="5" width="8.00390625" style="15" customWidth="1"/>
    <col min="6" max="6" width="8.25390625" style="15" customWidth="1"/>
    <col min="7" max="7" width="10.375" style="15" customWidth="1"/>
    <col min="8" max="8" width="9.625" style="15" customWidth="1"/>
    <col min="9" max="9" width="9.75390625" style="15" customWidth="1"/>
    <col min="10" max="10" width="10.125" style="15" customWidth="1"/>
    <col min="11" max="11" width="10.625" style="15" bestFit="1" customWidth="1"/>
    <col min="12" max="12" width="12.00390625" style="15" customWidth="1"/>
    <col min="13" max="16384" width="9.125" style="15" customWidth="1"/>
  </cols>
  <sheetData>
    <row r="2" spans="2:5" ht="15.75">
      <c r="B2" s="55"/>
      <c r="C2" s="72" t="s">
        <v>385</v>
      </c>
      <c r="D2" s="55"/>
      <c r="E2" s="55"/>
    </row>
    <row r="3" spans="1:5" ht="15">
      <c r="A3" s="16"/>
      <c r="B3" s="55"/>
      <c r="C3" s="71" t="s">
        <v>1</v>
      </c>
      <c r="D3" s="55"/>
      <c r="E3" s="55"/>
    </row>
    <row r="4" spans="1:5" ht="15.75">
      <c r="A4" s="16"/>
      <c r="B4" s="55"/>
      <c r="C4" s="72" t="s">
        <v>393</v>
      </c>
      <c r="D4" s="55"/>
      <c r="E4" s="55"/>
    </row>
    <row r="5" spans="1:5" ht="15.75">
      <c r="A5" s="16"/>
      <c r="B5" s="55"/>
      <c r="C5" s="72"/>
      <c r="D5" s="55"/>
      <c r="E5" s="55"/>
    </row>
    <row r="6" spans="1:5" ht="15">
      <c r="A6" s="16"/>
      <c r="B6" s="55"/>
      <c r="D6" s="55"/>
      <c r="E6" s="55"/>
    </row>
    <row r="7" spans="1:10" ht="76.5">
      <c r="A7" s="17" t="s">
        <v>27</v>
      </c>
      <c r="B7" s="18" t="s">
        <v>2</v>
      </c>
      <c r="C7" s="18" t="s">
        <v>3</v>
      </c>
      <c r="D7" s="17" t="s">
        <v>26</v>
      </c>
      <c r="E7" s="18" t="s">
        <v>4</v>
      </c>
      <c r="F7" s="18" t="s">
        <v>5</v>
      </c>
      <c r="G7" s="18" t="s">
        <v>6</v>
      </c>
      <c r="H7" s="18" t="s">
        <v>382</v>
      </c>
      <c r="I7" s="18" t="s">
        <v>376</v>
      </c>
      <c r="J7" s="18" t="s">
        <v>7</v>
      </c>
    </row>
    <row r="8" spans="1:10" ht="12.7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/>
      <c r="I8" s="19"/>
      <c r="J8" s="19">
        <v>8</v>
      </c>
    </row>
    <row r="9" spans="1:10" ht="12.75">
      <c r="A9" s="406" t="s">
        <v>8</v>
      </c>
      <c r="B9" s="406"/>
      <c r="C9" s="406"/>
      <c r="D9" s="406"/>
      <c r="E9" s="406"/>
      <c r="F9" s="406"/>
      <c r="G9" s="406"/>
      <c r="H9" s="406"/>
      <c r="I9" s="406"/>
      <c r="J9" s="406"/>
    </row>
    <row r="10" spans="1:10" ht="14.25" customHeight="1">
      <c r="A10" s="403" t="s">
        <v>9</v>
      </c>
      <c r="B10" s="407"/>
      <c r="C10" s="407"/>
      <c r="D10" s="407"/>
      <c r="E10" s="407"/>
      <c r="F10" s="407"/>
      <c r="G10" s="407"/>
      <c r="H10" s="407"/>
      <c r="I10" s="407"/>
      <c r="J10" s="408"/>
    </row>
    <row r="11" spans="1:10" ht="12.75">
      <c r="A11" s="403" t="s">
        <v>10</v>
      </c>
      <c r="B11" s="404"/>
      <c r="C11" s="404"/>
      <c r="D11" s="404"/>
      <c r="E11" s="404"/>
      <c r="F11" s="404"/>
      <c r="G11" s="404"/>
      <c r="H11" s="404"/>
      <c r="I11" s="404"/>
      <c r="J11" s="405"/>
    </row>
    <row r="12" spans="1:10" ht="12.75">
      <c r="A12" s="403" t="s">
        <v>11</v>
      </c>
      <c r="B12" s="404"/>
      <c r="C12" s="404"/>
      <c r="D12" s="404"/>
      <c r="E12" s="404"/>
      <c r="F12" s="404"/>
      <c r="G12" s="404"/>
      <c r="H12" s="404"/>
      <c r="I12" s="404"/>
      <c r="J12" s="405"/>
    </row>
    <row r="13" spans="1:10" ht="12.75">
      <c r="A13" s="403" t="s">
        <v>12</v>
      </c>
      <c r="B13" s="404"/>
      <c r="C13" s="404"/>
      <c r="D13" s="404"/>
      <c r="E13" s="404"/>
      <c r="F13" s="404"/>
      <c r="G13" s="404"/>
      <c r="H13" s="404"/>
      <c r="I13" s="404"/>
      <c r="J13" s="405"/>
    </row>
    <row r="14" spans="1:10" ht="12.75">
      <c r="A14" s="22" t="s">
        <v>13</v>
      </c>
      <c r="B14" s="23" t="s">
        <v>28</v>
      </c>
      <c r="C14" s="24"/>
      <c r="D14" s="24"/>
      <c r="E14" s="25">
        <v>170703</v>
      </c>
      <c r="F14" s="25">
        <v>1171</v>
      </c>
      <c r="G14" s="25"/>
      <c r="H14" s="25"/>
      <c r="I14" s="25"/>
      <c r="J14" s="25" t="s">
        <v>51</v>
      </c>
    </row>
    <row r="15" spans="1:10" ht="12.75">
      <c r="A15" s="22"/>
      <c r="B15" s="23" t="s">
        <v>29</v>
      </c>
      <c r="C15" s="24"/>
      <c r="D15" s="24"/>
      <c r="E15" s="25">
        <v>170703</v>
      </c>
      <c r="F15" s="25">
        <v>1171</v>
      </c>
      <c r="G15" s="24"/>
      <c r="H15" s="24"/>
      <c r="I15" s="24"/>
      <c r="J15" s="24"/>
    </row>
    <row r="16" spans="1:10" ht="12.75">
      <c r="A16" s="22"/>
      <c r="B16" s="23" t="s">
        <v>30</v>
      </c>
      <c r="C16" s="26" t="s">
        <v>43</v>
      </c>
      <c r="D16" s="26">
        <v>200</v>
      </c>
      <c r="E16" s="25">
        <v>170703</v>
      </c>
      <c r="F16" s="25">
        <v>1171</v>
      </c>
      <c r="G16" s="24"/>
      <c r="H16" s="24"/>
      <c r="I16" s="24"/>
      <c r="J16" s="24"/>
    </row>
    <row r="17" spans="1:10" ht="12.75">
      <c r="A17" s="22"/>
      <c r="B17" s="23" t="s">
        <v>31</v>
      </c>
      <c r="C17" s="26" t="s">
        <v>43</v>
      </c>
      <c r="D17" s="26">
        <v>40</v>
      </c>
      <c r="E17" s="25">
        <v>170703</v>
      </c>
      <c r="F17" s="25">
        <v>1171</v>
      </c>
      <c r="G17" s="24"/>
      <c r="H17" s="24"/>
      <c r="I17" s="24"/>
      <c r="J17" s="24"/>
    </row>
    <row r="18" spans="1:10" ht="12.75">
      <c r="A18" s="22"/>
      <c r="B18" s="23" t="s">
        <v>32</v>
      </c>
      <c r="C18" s="26" t="s">
        <v>43</v>
      </c>
      <c r="D18" s="26">
        <v>57</v>
      </c>
      <c r="E18" s="25">
        <v>170703</v>
      </c>
      <c r="F18" s="25">
        <v>1171</v>
      </c>
      <c r="G18" s="24"/>
      <c r="H18" s="24"/>
      <c r="I18" s="24"/>
      <c r="J18" s="24"/>
    </row>
    <row r="19" spans="1:10" ht="12.75">
      <c r="A19" s="22"/>
      <c r="B19" s="23" t="s">
        <v>33</v>
      </c>
      <c r="C19" s="26" t="s">
        <v>43</v>
      </c>
      <c r="D19" s="26">
        <v>30</v>
      </c>
      <c r="E19" s="25">
        <v>170703</v>
      </c>
      <c r="F19" s="25">
        <v>1171</v>
      </c>
      <c r="G19" s="24"/>
      <c r="H19" s="24"/>
      <c r="I19" s="24"/>
      <c r="J19" s="24"/>
    </row>
    <row r="20" spans="1:10" ht="12.75">
      <c r="A20" s="22"/>
      <c r="B20" s="23" t="s">
        <v>34</v>
      </c>
      <c r="C20" s="26" t="s">
        <v>43</v>
      </c>
      <c r="D20" s="26">
        <v>193</v>
      </c>
      <c r="E20" s="25">
        <v>170703</v>
      </c>
      <c r="F20" s="25">
        <v>1171</v>
      </c>
      <c r="G20" s="24"/>
      <c r="H20" s="24"/>
      <c r="I20" s="24"/>
      <c r="J20" s="24"/>
    </row>
    <row r="21" spans="1:10" ht="12.75">
      <c r="A21" s="22"/>
      <c r="B21" s="23" t="s">
        <v>35</v>
      </c>
      <c r="C21" s="26" t="s">
        <v>43</v>
      </c>
      <c r="D21" s="26">
        <v>96</v>
      </c>
      <c r="E21" s="25">
        <v>170703</v>
      </c>
      <c r="F21" s="25">
        <v>1171</v>
      </c>
      <c r="G21" s="24"/>
      <c r="H21" s="24"/>
      <c r="I21" s="24"/>
      <c r="J21" s="24"/>
    </row>
    <row r="22" spans="1:10" ht="12.75">
      <c r="A22" s="25"/>
      <c r="B22" s="23" t="s">
        <v>36</v>
      </c>
      <c r="C22" s="26" t="s">
        <v>43</v>
      </c>
      <c r="D22" s="26">
        <v>142</v>
      </c>
      <c r="E22" s="25">
        <v>170703</v>
      </c>
      <c r="F22" s="25">
        <v>1171</v>
      </c>
      <c r="G22" s="24"/>
      <c r="H22" s="24"/>
      <c r="I22" s="24"/>
      <c r="J22" s="24"/>
    </row>
    <row r="23" spans="1:10" ht="12.75">
      <c r="A23" s="25"/>
      <c r="B23" s="23" t="s">
        <v>37</v>
      </c>
      <c r="C23" s="26" t="s">
        <v>43</v>
      </c>
      <c r="D23" s="26">
        <v>33</v>
      </c>
      <c r="E23" s="25">
        <v>170703</v>
      </c>
      <c r="F23" s="25">
        <v>1171</v>
      </c>
      <c r="G23" s="24"/>
      <c r="H23" s="24"/>
      <c r="I23" s="24"/>
      <c r="J23" s="24"/>
    </row>
    <row r="24" spans="1:10" ht="12.75">
      <c r="A24" s="25"/>
      <c r="B24" s="23" t="s">
        <v>38</v>
      </c>
      <c r="C24" s="26" t="s">
        <v>43</v>
      </c>
      <c r="D24" s="26">
        <v>96</v>
      </c>
      <c r="E24" s="25">
        <v>170703</v>
      </c>
      <c r="F24" s="25">
        <v>1171</v>
      </c>
      <c r="G24" s="24"/>
      <c r="H24" s="24"/>
      <c r="I24" s="24"/>
      <c r="J24" s="24"/>
    </row>
    <row r="25" spans="1:10" ht="12.75">
      <c r="A25" s="22"/>
      <c r="B25" s="23" t="s">
        <v>39</v>
      </c>
      <c r="C25" s="26" t="s">
        <v>43</v>
      </c>
      <c r="D25" s="26">
        <v>22</v>
      </c>
      <c r="E25" s="25">
        <v>170703</v>
      </c>
      <c r="F25" s="25">
        <v>1171</v>
      </c>
      <c r="G25" s="24"/>
      <c r="H25" s="24"/>
      <c r="I25" s="24"/>
      <c r="J25" s="24"/>
    </row>
    <row r="26" spans="1:10" ht="12.75">
      <c r="A26" s="22"/>
      <c r="B26" s="23" t="s">
        <v>40</v>
      </c>
      <c r="C26" s="26" t="s">
        <v>43</v>
      </c>
      <c r="D26" s="26">
        <v>174</v>
      </c>
      <c r="E26" s="25">
        <v>170703</v>
      </c>
      <c r="F26" s="25">
        <v>1171</v>
      </c>
      <c r="G26" s="24"/>
      <c r="H26" s="24"/>
      <c r="I26" s="24"/>
      <c r="J26" s="24"/>
    </row>
    <row r="27" spans="1:10" ht="12.75">
      <c r="A27" s="22"/>
      <c r="B27" s="23" t="s">
        <v>41</v>
      </c>
      <c r="C27" s="26" t="s">
        <v>43</v>
      </c>
      <c r="D27" s="26">
        <v>190</v>
      </c>
      <c r="E27" s="25">
        <v>170703</v>
      </c>
      <c r="F27" s="25">
        <v>1171</v>
      </c>
      <c r="G27" s="24"/>
      <c r="H27" s="24"/>
      <c r="I27" s="24"/>
      <c r="J27" s="24"/>
    </row>
    <row r="28" spans="1:10" ht="12.75">
      <c r="A28" s="22"/>
      <c r="B28" s="23" t="s">
        <v>42</v>
      </c>
      <c r="C28" s="26" t="s">
        <v>43</v>
      </c>
      <c r="D28" s="26">
        <v>80</v>
      </c>
      <c r="E28" s="25">
        <v>170703</v>
      </c>
      <c r="F28" s="25">
        <v>1171</v>
      </c>
      <c r="G28" s="24"/>
      <c r="H28" s="24"/>
      <c r="I28" s="24"/>
      <c r="J28" s="24"/>
    </row>
    <row r="29" spans="1:10" ht="12.75">
      <c r="A29" s="22" t="s">
        <v>14</v>
      </c>
      <c r="B29" s="23" t="s">
        <v>44</v>
      </c>
      <c r="C29" s="26" t="s">
        <v>52</v>
      </c>
      <c r="D29" s="26">
        <v>320</v>
      </c>
      <c r="E29" s="25">
        <v>170703</v>
      </c>
      <c r="F29" s="25">
        <v>1171</v>
      </c>
      <c r="G29" s="25"/>
      <c r="H29" s="25"/>
      <c r="I29" s="25"/>
      <c r="J29" s="25" t="s">
        <v>51</v>
      </c>
    </row>
    <row r="30" spans="1:10" ht="12.75">
      <c r="A30" s="22" t="s">
        <v>45</v>
      </c>
      <c r="B30" s="23" t="s">
        <v>46</v>
      </c>
      <c r="C30" s="26" t="s">
        <v>52</v>
      </c>
      <c r="D30" s="26">
        <v>310</v>
      </c>
      <c r="E30" s="25">
        <v>170703</v>
      </c>
      <c r="F30" s="25">
        <v>1171</v>
      </c>
      <c r="G30" s="25"/>
      <c r="H30" s="25"/>
      <c r="I30" s="25"/>
      <c r="J30" s="25" t="s">
        <v>51</v>
      </c>
    </row>
    <row r="31" spans="1:10" ht="12.75">
      <c r="A31" s="22" t="s">
        <v>16</v>
      </c>
      <c r="B31" s="23" t="s">
        <v>47</v>
      </c>
      <c r="C31" s="26" t="s">
        <v>52</v>
      </c>
      <c r="D31" s="26">
        <v>350</v>
      </c>
      <c r="E31" s="25">
        <v>170703</v>
      </c>
      <c r="F31" s="25">
        <v>1171</v>
      </c>
      <c r="G31" s="25"/>
      <c r="H31" s="25"/>
      <c r="I31" s="25"/>
      <c r="J31" s="25" t="s">
        <v>51</v>
      </c>
    </row>
    <row r="32" spans="1:10" ht="12.75">
      <c r="A32" s="22" t="s">
        <v>17</v>
      </c>
      <c r="B32" s="23" t="s">
        <v>48</v>
      </c>
      <c r="C32" s="26" t="s">
        <v>53</v>
      </c>
      <c r="D32" s="26">
        <v>75.39</v>
      </c>
      <c r="E32" s="25">
        <v>170703</v>
      </c>
      <c r="F32" s="25">
        <v>1171</v>
      </c>
      <c r="G32" s="25"/>
      <c r="H32" s="25"/>
      <c r="I32" s="25"/>
      <c r="J32" s="25" t="s">
        <v>51</v>
      </c>
    </row>
    <row r="33" spans="1:10" ht="12.75">
      <c r="A33" s="22" t="s">
        <v>18</v>
      </c>
      <c r="B33" s="23" t="s">
        <v>49</v>
      </c>
      <c r="C33" s="26" t="s">
        <v>53</v>
      </c>
      <c r="D33" s="26">
        <v>324.96</v>
      </c>
      <c r="E33" s="25">
        <v>170703</v>
      </c>
      <c r="F33" s="25">
        <v>1171</v>
      </c>
      <c r="G33" s="25"/>
      <c r="H33" s="25"/>
      <c r="I33" s="25"/>
      <c r="J33" s="25" t="s">
        <v>51</v>
      </c>
    </row>
    <row r="34" spans="1:10" ht="12.75">
      <c r="A34" s="22">
        <v>7</v>
      </c>
      <c r="B34" s="23" t="s">
        <v>223</v>
      </c>
      <c r="C34" s="26" t="s">
        <v>53</v>
      </c>
      <c r="D34" s="26">
        <v>55.64</v>
      </c>
      <c r="E34" s="25">
        <v>170703</v>
      </c>
      <c r="F34" s="25">
        <v>1171</v>
      </c>
      <c r="G34" s="25"/>
      <c r="H34" s="25"/>
      <c r="I34" s="25"/>
      <c r="J34" s="25" t="s">
        <v>51</v>
      </c>
    </row>
    <row r="35" spans="1:10" ht="28.5" customHeight="1">
      <c r="A35" s="22">
        <v>8</v>
      </c>
      <c r="B35" s="27" t="s">
        <v>50</v>
      </c>
      <c r="C35" s="26"/>
      <c r="D35" s="26"/>
      <c r="E35" s="22">
        <v>170703</v>
      </c>
      <c r="F35" s="22">
        <v>1171</v>
      </c>
      <c r="G35" s="22"/>
      <c r="H35" s="22"/>
      <c r="I35" s="22"/>
      <c r="J35" s="22" t="s">
        <v>51</v>
      </c>
    </row>
    <row r="36" spans="1:10" ht="12.75">
      <c r="A36" s="23"/>
      <c r="B36" s="23" t="s">
        <v>30</v>
      </c>
      <c r="C36" s="26" t="s">
        <v>53</v>
      </c>
      <c r="D36" s="26">
        <v>120</v>
      </c>
      <c r="E36" s="22">
        <v>170703</v>
      </c>
      <c r="F36" s="22">
        <v>1171</v>
      </c>
      <c r="G36" s="24"/>
      <c r="H36" s="24"/>
      <c r="I36" s="24"/>
      <c r="J36" s="24"/>
    </row>
    <row r="37" spans="1:10" ht="12.75">
      <c r="A37" s="22"/>
      <c r="B37" s="23" t="s">
        <v>31</v>
      </c>
      <c r="C37" s="26" t="s">
        <v>53</v>
      </c>
      <c r="D37" s="26">
        <v>92.5</v>
      </c>
      <c r="E37" s="22">
        <v>170703</v>
      </c>
      <c r="F37" s="22">
        <v>1171</v>
      </c>
      <c r="G37" s="24"/>
      <c r="H37" s="24"/>
      <c r="I37" s="24"/>
      <c r="J37" s="24"/>
    </row>
    <row r="38" spans="1:10" ht="12.75">
      <c r="A38" s="22"/>
      <c r="B38" s="23" t="s">
        <v>32</v>
      </c>
      <c r="C38" s="26" t="s">
        <v>53</v>
      </c>
      <c r="D38" s="26">
        <v>77.52</v>
      </c>
      <c r="E38" s="22">
        <v>170703</v>
      </c>
      <c r="F38" s="22">
        <v>1171</v>
      </c>
      <c r="G38" s="24"/>
      <c r="H38" s="24"/>
      <c r="I38" s="24"/>
      <c r="J38" s="24"/>
    </row>
    <row r="39" spans="1:10" ht="12.75">
      <c r="A39" s="22"/>
      <c r="B39" s="23" t="s">
        <v>33</v>
      </c>
      <c r="C39" s="26" t="s">
        <v>53</v>
      </c>
      <c r="D39" s="26">
        <v>10.5</v>
      </c>
      <c r="E39" s="22">
        <v>170703</v>
      </c>
      <c r="F39" s="22">
        <v>1171</v>
      </c>
      <c r="G39" s="24"/>
      <c r="H39" s="24"/>
      <c r="I39" s="24"/>
      <c r="J39" s="24"/>
    </row>
    <row r="40" spans="1:10" ht="12.75">
      <c r="A40" s="22"/>
      <c r="B40" s="23" t="s">
        <v>34</v>
      </c>
      <c r="C40" s="26" t="s">
        <v>53</v>
      </c>
      <c r="D40" s="26">
        <v>70.26</v>
      </c>
      <c r="E40" s="22">
        <v>170703</v>
      </c>
      <c r="F40" s="22">
        <v>1171</v>
      </c>
      <c r="G40" s="24"/>
      <c r="H40" s="24"/>
      <c r="I40" s="24"/>
      <c r="J40" s="24"/>
    </row>
    <row r="41" spans="1:10" ht="12.75">
      <c r="A41" s="22"/>
      <c r="B41" s="23" t="s">
        <v>35</v>
      </c>
      <c r="C41" s="26" t="s">
        <v>53</v>
      </c>
      <c r="D41" s="26">
        <v>40.26</v>
      </c>
      <c r="E41" s="22">
        <v>170703</v>
      </c>
      <c r="F41" s="22">
        <v>1171</v>
      </c>
      <c r="G41" s="24"/>
      <c r="H41" s="24"/>
      <c r="I41" s="24"/>
      <c r="J41" s="24"/>
    </row>
    <row r="42" spans="1:10" ht="12.75">
      <c r="A42" s="22"/>
      <c r="B42" s="23" t="s">
        <v>36</v>
      </c>
      <c r="C42" s="26" t="s">
        <v>53</v>
      </c>
      <c r="D42" s="26">
        <v>66</v>
      </c>
      <c r="E42" s="22">
        <v>170703</v>
      </c>
      <c r="F42" s="22">
        <v>1171</v>
      </c>
      <c r="G42" s="24"/>
      <c r="H42" s="24"/>
      <c r="I42" s="24"/>
      <c r="J42" s="24"/>
    </row>
    <row r="43" spans="1:10" ht="12.75">
      <c r="A43" s="22"/>
      <c r="B43" s="23" t="s">
        <v>37</v>
      </c>
      <c r="C43" s="26" t="s">
        <v>53</v>
      </c>
      <c r="D43" s="28">
        <v>19.8</v>
      </c>
      <c r="E43" s="22">
        <v>170703</v>
      </c>
      <c r="F43" s="22">
        <v>1171</v>
      </c>
      <c r="G43" s="24"/>
      <c r="H43" s="24"/>
      <c r="I43" s="24"/>
      <c r="J43" s="24"/>
    </row>
    <row r="44" spans="1:10" ht="12.75">
      <c r="A44" s="22"/>
      <c r="B44" s="23" t="s">
        <v>38</v>
      </c>
      <c r="C44" s="26" t="s">
        <v>53</v>
      </c>
      <c r="D44" s="26">
        <v>28.8</v>
      </c>
      <c r="E44" s="22">
        <v>170703</v>
      </c>
      <c r="F44" s="22">
        <v>1171</v>
      </c>
      <c r="G44" s="24"/>
      <c r="H44" s="24"/>
      <c r="I44" s="24"/>
      <c r="J44" s="24"/>
    </row>
    <row r="45" spans="1:10" ht="12.75">
      <c r="A45" s="22"/>
      <c r="B45" s="23" t="s">
        <v>39</v>
      </c>
      <c r="C45" s="26" t="s">
        <v>53</v>
      </c>
      <c r="D45" s="26">
        <v>20</v>
      </c>
      <c r="E45" s="22">
        <v>170703</v>
      </c>
      <c r="F45" s="22">
        <v>1171</v>
      </c>
      <c r="G45" s="24"/>
      <c r="H45" s="24"/>
      <c r="I45" s="24"/>
      <c r="J45" s="24"/>
    </row>
    <row r="46" spans="1:10" ht="12.75">
      <c r="A46" s="22"/>
      <c r="B46" s="23" t="s">
        <v>54</v>
      </c>
      <c r="C46" s="26" t="s">
        <v>53</v>
      </c>
      <c r="D46" s="26">
        <v>36.68</v>
      </c>
      <c r="E46" s="22">
        <v>170703</v>
      </c>
      <c r="F46" s="22">
        <v>1171</v>
      </c>
      <c r="G46" s="24"/>
      <c r="H46" s="24"/>
      <c r="I46" s="24"/>
      <c r="J46" s="24"/>
    </row>
    <row r="47" spans="1:10" ht="12.75">
      <c r="A47" s="22"/>
      <c r="B47" s="23" t="s">
        <v>55</v>
      </c>
      <c r="C47" s="26" t="s">
        <v>53</v>
      </c>
      <c r="D47" s="26">
        <v>11.57</v>
      </c>
      <c r="E47" s="22">
        <v>170703</v>
      </c>
      <c r="F47" s="22">
        <v>1171</v>
      </c>
      <c r="G47" s="24"/>
      <c r="H47" s="24"/>
      <c r="I47" s="24"/>
      <c r="J47" s="24"/>
    </row>
    <row r="48" spans="1:10" ht="12.75">
      <c r="A48" s="22"/>
      <c r="B48" s="23" t="s">
        <v>56</v>
      </c>
      <c r="C48" s="26" t="s">
        <v>53</v>
      </c>
      <c r="D48" s="26">
        <v>11.42</v>
      </c>
      <c r="E48" s="22">
        <v>170703</v>
      </c>
      <c r="F48" s="22">
        <v>1171</v>
      </c>
      <c r="G48" s="24"/>
      <c r="H48" s="24"/>
      <c r="I48" s="24"/>
      <c r="J48" s="24"/>
    </row>
    <row r="49" spans="1:10" ht="12.75">
      <c r="A49" s="22"/>
      <c r="B49" s="23" t="s">
        <v>57</v>
      </c>
      <c r="C49" s="26" t="s">
        <v>53</v>
      </c>
      <c r="D49" s="26">
        <v>6.12</v>
      </c>
      <c r="E49" s="22">
        <v>170703</v>
      </c>
      <c r="F49" s="22">
        <v>1171</v>
      </c>
      <c r="G49" s="24"/>
      <c r="H49" s="24"/>
      <c r="I49" s="24"/>
      <c r="J49" s="24"/>
    </row>
    <row r="50" spans="1:10" ht="25.5">
      <c r="A50" s="22">
        <v>9</v>
      </c>
      <c r="B50" s="27" t="s">
        <v>281</v>
      </c>
      <c r="C50" s="26" t="s">
        <v>58</v>
      </c>
      <c r="D50" s="26">
        <v>556.4</v>
      </c>
      <c r="E50" s="25">
        <v>170703</v>
      </c>
      <c r="F50" s="25">
        <v>1171</v>
      </c>
      <c r="G50" s="25"/>
      <c r="H50" s="25"/>
      <c r="I50" s="25"/>
      <c r="J50" s="25" t="s">
        <v>51</v>
      </c>
    </row>
    <row r="51" spans="1:10" ht="15" customHeight="1">
      <c r="A51" s="22">
        <v>10</v>
      </c>
      <c r="B51" s="23" t="s">
        <v>59</v>
      </c>
      <c r="C51" s="26" t="s">
        <v>225</v>
      </c>
      <c r="D51" s="26">
        <v>100</v>
      </c>
      <c r="E51" s="22">
        <v>170703</v>
      </c>
      <c r="F51" s="22">
        <v>1171</v>
      </c>
      <c r="G51" s="22"/>
      <c r="H51" s="22"/>
      <c r="I51" s="22"/>
      <c r="J51" s="22" t="s">
        <v>51</v>
      </c>
    </row>
    <row r="52" spans="1:10" ht="12.75">
      <c r="A52" s="22">
        <v>11</v>
      </c>
      <c r="B52" s="23" t="s">
        <v>224</v>
      </c>
      <c r="C52" s="26" t="s">
        <v>53</v>
      </c>
      <c r="D52" s="26">
        <v>8.5</v>
      </c>
      <c r="E52" s="25">
        <v>170703</v>
      </c>
      <c r="F52" s="25">
        <v>1171</v>
      </c>
      <c r="G52" s="25"/>
      <c r="H52" s="25"/>
      <c r="I52" s="25"/>
      <c r="J52" s="25" t="s">
        <v>51</v>
      </c>
    </row>
    <row r="53" spans="1:10" ht="15.75" customHeight="1">
      <c r="A53" s="22">
        <v>12</v>
      </c>
      <c r="B53" s="23" t="s">
        <v>60</v>
      </c>
      <c r="C53" s="26" t="s">
        <v>61</v>
      </c>
      <c r="D53" s="26">
        <v>3024</v>
      </c>
      <c r="E53" s="22">
        <v>170703</v>
      </c>
      <c r="F53" s="22">
        <v>1171</v>
      </c>
      <c r="G53" s="22"/>
      <c r="H53" s="22"/>
      <c r="I53" s="22"/>
      <c r="J53" s="22" t="s">
        <v>51</v>
      </c>
    </row>
    <row r="54" spans="1:10" ht="12.75">
      <c r="A54" s="22">
        <v>13</v>
      </c>
      <c r="B54" s="23" t="s">
        <v>62</v>
      </c>
      <c r="C54" s="26" t="s">
        <v>61</v>
      </c>
      <c r="D54" s="26">
        <f>128+128</f>
        <v>256</v>
      </c>
      <c r="E54" s="25">
        <v>170703</v>
      </c>
      <c r="F54" s="25">
        <v>1171</v>
      </c>
      <c r="G54" s="25"/>
      <c r="H54" s="25"/>
      <c r="I54" s="25"/>
      <c r="J54" s="25" t="s">
        <v>51</v>
      </c>
    </row>
    <row r="55" spans="1:10" ht="12.75" customHeight="1">
      <c r="A55" s="167" t="s">
        <v>15</v>
      </c>
      <c r="B55" s="20"/>
      <c r="C55" s="20"/>
      <c r="D55" s="20"/>
      <c r="E55" s="20"/>
      <c r="F55" s="20"/>
      <c r="G55" s="20"/>
      <c r="H55" s="20"/>
      <c r="I55" s="20"/>
      <c r="J55" s="21"/>
    </row>
    <row r="56" spans="1:10" ht="12.75">
      <c r="A56" s="22">
        <v>1</v>
      </c>
      <c r="B56" s="23" t="s">
        <v>64</v>
      </c>
      <c r="C56" s="25" t="s">
        <v>65</v>
      </c>
      <c r="D56" s="24">
        <v>32.2</v>
      </c>
      <c r="E56" s="25">
        <v>170703</v>
      </c>
      <c r="F56" s="25">
        <v>1171</v>
      </c>
      <c r="G56" s="25"/>
      <c r="H56" s="25"/>
      <c r="I56" s="25"/>
      <c r="J56" s="25" t="s">
        <v>51</v>
      </c>
    </row>
    <row r="57" spans="1:255" s="35" customFormat="1" ht="16.5" customHeight="1">
      <c r="A57" s="22">
        <v>1</v>
      </c>
      <c r="B57" s="29" t="s">
        <v>241</v>
      </c>
      <c r="C57" s="26"/>
      <c r="D57" s="26"/>
      <c r="E57" s="25">
        <v>170703</v>
      </c>
      <c r="F57" s="25">
        <v>1171</v>
      </c>
      <c r="G57" s="57">
        <f>G58+G59</f>
        <v>18.476</v>
      </c>
      <c r="H57" s="57">
        <f>H58+H59+H60+H61+H62+H63</f>
        <v>25.691000000000006</v>
      </c>
      <c r="I57" s="57"/>
      <c r="J57" s="62"/>
      <c r="K57" s="31"/>
      <c r="L57" s="32"/>
      <c r="M57" s="33"/>
      <c r="N57" s="33"/>
      <c r="O57" s="34"/>
      <c r="P57" s="34"/>
      <c r="Q57" s="37"/>
      <c r="R57" s="34"/>
      <c r="S57" s="31"/>
      <c r="T57" s="32"/>
      <c r="U57" s="33"/>
      <c r="V57" s="33"/>
      <c r="W57" s="34"/>
      <c r="X57" s="34"/>
      <c r="Y57" s="37"/>
      <c r="Z57" s="34"/>
      <c r="AA57" s="31"/>
      <c r="AB57" s="32"/>
      <c r="AC57" s="33"/>
      <c r="AD57" s="33"/>
      <c r="AE57" s="34"/>
      <c r="AF57" s="34"/>
      <c r="AG57" s="37"/>
      <c r="AH57" s="34"/>
      <c r="AI57" s="31"/>
      <c r="AJ57" s="32"/>
      <c r="AK57" s="33"/>
      <c r="AL57" s="33"/>
      <c r="AM57" s="34"/>
      <c r="AN57" s="34"/>
      <c r="AO57" s="37"/>
      <c r="AP57" s="34"/>
      <c r="AQ57" s="31"/>
      <c r="AR57" s="32"/>
      <c r="AS57" s="33"/>
      <c r="AT57" s="33"/>
      <c r="AU57" s="34"/>
      <c r="AV57" s="34"/>
      <c r="AW57" s="37"/>
      <c r="AX57" s="34"/>
      <c r="AY57" s="31"/>
      <c r="AZ57" s="32"/>
      <c r="BA57" s="33"/>
      <c r="BB57" s="33"/>
      <c r="BC57" s="34"/>
      <c r="BD57" s="34"/>
      <c r="BE57" s="37"/>
      <c r="BF57" s="34"/>
      <c r="BG57" s="31"/>
      <c r="BH57" s="32"/>
      <c r="BI57" s="33"/>
      <c r="BJ57" s="33"/>
      <c r="BK57" s="34"/>
      <c r="BL57" s="34"/>
      <c r="BM57" s="37"/>
      <c r="BN57" s="34"/>
      <c r="BO57" s="31"/>
      <c r="BP57" s="32"/>
      <c r="BQ57" s="33"/>
      <c r="BR57" s="33"/>
      <c r="BS57" s="34"/>
      <c r="BT57" s="34"/>
      <c r="BU57" s="37"/>
      <c r="BV57" s="34"/>
      <c r="BW57" s="31"/>
      <c r="BX57" s="32"/>
      <c r="BY57" s="33"/>
      <c r="BZ57" s="33"/>
      <c r="CA57" s="34"/>
      <c r="CB57" s="34"/>
      <c r="CC57" s="37"/>
      <c r="CD57" s="34"/>
      <c r="CE57" s="31"/>
      <c r="CF57" s="32"/>
      <c r="CG57" s="33"/>
      <c r="CH57" s="33"/>
      <c r="CI57" s="34"/>
      <c r="CJ57" s="34"/>
      <c r="CK57" s="37"/>
      <c r="CL57" s="34"/>
      <c r="CM57" s="31"/>
      <c r="CN57" s="32"/>
      <c r="CO57" s="33"/>
      <c r="CP57" s="33"/>
      <c r="CQ57" s="34"/>
      <c r="CR57" s="34"/>
      <c r="CS57" s="37"/>
      <c r="CT57" s="34"/>
      <c r="CU57" s="31"/>
      <c r="CV57" s="32"/>
      <c r="CW57" s="33"/>
      <c r="CX57" s="33"/>
      <c r="CY57" s="34"/>
      <c r="CZ57" s="34"/>
      <c r="DA57" s="37"/>
      <c r="DB57" s="34"/>
      <c r="DC57" s="31"/>
      <c r="DD57" s="32"/>
      <c r="DE57" s="33"/>
      <c r="DF57" s="33"/>
      <c r="DG57" s="34"/>
      <c r="DH57" s="34"/>
      <c r="DI57" s="37"/>
      <c r="DJ57" s="34"/>
      <c r="DK57" s="31"/>
      <c r="DL57" s="32"/>
      <c r="DM57" s="33"/>
      <c r="DN57" s="33"/>
      <c r="DO57" s="34"/>
      <c r="DP57" s="34"/>
      <c r="DQ57" s="37"/>
      <c r="DR57" s="34"/>
      <c r="DS57" s="31"/>
      <c r="DT57" s="32"/>
      <c r="DU57" s="33"/>
      <c r="DV57" s="33"/>
      <c r="DW57" s="34"/>
      <c r="DX57" s="34"/>
      <c r="DY57" s="37"/>
      <c r="DZ57" s="34"/>
      <c r="EA57" s="31"/>
      <c r="EB57" s="32"/>
      <c r="EC57" s="33"/>
      <c r="ED57" s="33"/>
      <c r="EE57" s="34"/>
      <c r="EF57" s="34"/>
      <c r="EG57" s="37"/>
      <c r="EH57" s="34"/>
      <c r="EI57" s="31"/>
      <c r="EJ57" s="32"/>
      <c r="EK57" s="33"/>
      <c r="EL57" s="33"/>
      <c r="EM57" s="34"/>
      <c r="EN57" s="34"/>
      <c r="EO57" s="37"/>
      <c r="EP57" s="34"/>
      <c r="EQ57" s="31"/>
      <c r="ER57" s="32"/>
      <c r="ES57" s="33"/>
      <c r="ET57" s="33"/>
      <c r="EU57" s="34"/>
      <c r="EV57" s="34"/>
      <c r="EW57" s="37"/>
      <c r="EX57" s="34"/>
      <c r="EY57" s="31"/>
      <c r="EZ57" s="32"/>
      <c r="FA57" s="33"/>
      <c r="FB57" s="33"/>
      <c r="FC57" s="34"/>
      <c r="FD57" s="34"/>
      <c r="FE57" s="37"/>
      <c r="FF57" s="34"/>
      <c r="FG57" s="31"/>
      <c r="FH57" s="32"/>
      <c r="FI57" s="33"/>
      <c r="FJ57" s="33"/>
      <c r="FK57" s="34"/>
      <c r="FL57" s="34"/>
      <c r="FM57" s="37"/>
      <c r="FN57" s="34"/>
      <c r="FO57" s="31"/>
      <c r="FP57" s="32"/>
      <c r="FQ57" s="33"/>
      <c r="FR57" s="33"/>
      <c r="FS57" s="34"/>
      <c r="FT57" s="34"/>
      <c r="FU57" s="37"/>
      <c r="FV57" s="34"/>
      <c r="FW57" s="31"/>
      <c r="FX57" s="32"/>
      <c r="FY57" s="33"/>
      <c r="FZ57" s="33"/>
      <c r="GA57" s="34"/>
      <c r="GB57" s="34"/>
      <c r="GC57" s="37"/>
      <c r="GD57" s="34"/>
      <c r="GE57" s="31"/>
      <c r="GF57" s="32"/>
      <c r="GG57" s="33"/>
      <c r="GH57" s="33"/>
      <c r="GI57" s="34"/>
      <c r="GJ57" s="34"/>
      <c r="GK57" s="37"/>
      <c r="GL57" s="34"/>
      <c r="GM57" s="31"/>
      <c r="GN57" s="32"/>
      <c r="GO57" s="33"/>
      <c r="GP57" s="33"/>
      <c r="GQ57" s="34"/>
      <c r="GR57" s="34"/>
      <c r="GS57" s="37"/>
      <c r="GT57" s="34"/>
      <c r="GU57" s="31"/>
      <c r="GV57" s="32"/>
      <c r="GW57" s="33"/>
      <c r="GX57" s="33"/>
      <c r="GY57" s="34"/>
      <c r="GZ57" s="34"/>
      <c r="HA57" s="37"/>
      <c r="HB57" s="34"/>
      <c r="HC57" s="31"/>
      <c r="HD57" s="32"/>
      <c r="HE57" s="33"/>
      <c r="HF57" s="33"/>
      <c r="HG57" s="34"/>
      <c r="HH57" s="34"/>
      <c r="HI57" s="37"/>
      <c r="HJ57" s="34"/>
      <c r="HK57" s="31"/>
      <c r="HL57" s="32"/>
      <c r="HM57" s="33"/>
      <c r="HN57" s="33"/>
      <c r="HO57" s="34"/>
      <c r="HP57" s="34"/>
      <c r="HQ57" s="37"/>
      <c r="HR57" s="34"/>
      <c r="HS57" s="31"/>
      <c r="HT57" s="32"/>
      <c r="HU57" s="33"/>
      <c r="HV57" s="33"/>
      <c r="HW57" s="34"/>
      <c r="HX57" s="34"/>
      <c r="HY57" s="37"/>
      <c r="HZ57" s="34"/>
      <c r="IA57" s="31"/>
      <c r="IB57" s="32"/>
      <c r="IC57" s="33"/>
      <c r="ID57" s="33"/>
      <c r="IE57" s="34"/>
      <c r="IF57" s="34"/>
      <c r="IG57" s="37"/>
      <c r="IH57" s="34"/>
      <c r="II57" s="31"/>
      <c r="IJ57" s="32"/>
      <c r="IK57" s="33"/>
      <c r="IL57" s="33"/>
      <c r="IM57" s="34"/>
      <c r="IN57" s="34"/>
      <c r="IO57" s="37"/>
      <c r="IP57" s="34"/>
      <c r="IQ57" s="31"/>
      <c r="IR57" s="32"/>
      <c r="IS57" s="33"/>
      <c r="IT57" s="33"/>
      <c r="IU57" s="34"/>
    </row>
    <row r="58" spans="1:255" s="35" customFormat="1" ht="25.5">
      <c r="A58" s="22"/>
      <c r="B58" s="23" t="s">
        <v>236</v>
      </c>
      <c r="C58" s="26" t="s">
        <v>80</v>
      </c>
      <c r="D58" s="26">
        <v>15</v>
      </c>
      <c r="E58" s="25">
        <v>170703</v>
      </c>
      <c r="F58" s="25">
        <v>1171</v>
      </c>
      <c r="G58" s="25">
        <f>6855/1000</f>
        <v>6.855</v>
      </c>
      <c r="H58" s="25">
        <f>5977/1000</f>
        <v>5.977</v>
      </c>
      <c r="I58" s="50" t="s">
        <v>374</v>
      </c>
      <c r="J58" s="25" t="s">
        <v>283</v>
      </c>
      <c r="K58" s="31"/>
      <c r="L58" s="32"/>
      <c r="M58" s="33"/>
      <c r="N58" s="33"/>
      <c r="O58" s="34"/>
      <c r="P58" s="34"/>
      <c r="Q58" s="34"/>
      <c r="R58" s="34"/>
      <c r="S58" s="31"/>
      <c r="T58" s="32"/>
      <c r="U58" s="33"/>
      <c r="V58" s="33"/>
      <c r="W58" s="34"/>
      <c r="X58" s="34"/>
      <c r="Y58" s="34"/>
      <c r="Z58" s="34"/>
      <c r="AA58" s="31"/>
      <c r="AB58" s="32"/>
      <c r="AC58" s="33"/>
      <c r="AD58" s="33"/>
      <c r="AE58" s="34"/>
      <c r="AF58" s="34"/>
      <c r="AG58" s="34"/>
      <c r="AH58" s="34"/>
      <c r="AI58" s="31"/>
      <c r="AJ58" s="32"/>
      <c r="AK58" s="33"/>
      <c r="AL58" s="33"/>
      <c r="AM58" s="34"/>
      <c r="AN58" s="34"/>
      <c r="AO58" s="34"/>
      <c r="AP58" s="34"/>
      <c r="AQ58" s="31"/>
      <c r="AR58" s="32"/>
      <c r="AS58" s="33"/>
      <c r="AT58" s="33"/>
      <c r="AU58" s="34"/>
      <c r="AV58" s="34"/>
      <c r="AW58" s="34"/>
      <c r="AX58" s="34"/>
      <c r="AY58" s="31"/>
      <c r="AZ58" s="32"/>
      <c r="BA58" s="33"/>
      <c r="BB58" s="33"/>
      <c r="BC58" s="34"/>
      <c r="BD58" s="34"/>
      <c r="BE58" s="34"/>
      <c r="BF58" s="34"/>
      <c r="BG58" s="31"/>
      <c r="BH58" s="32"/>
      <c r="BI58" s="33"/>
      <c r="BJ58" s="33"/>
      <c r="BK58" s="34"/>
      <c r="BL58" s="34"/>
      <c r="BM58" s="34"/>
      <c r="BN58" s="34"/>
      <c r="BO58" s="31"/>
      <c r="BP58" s="32"/>
      <c r="BQ58" s="33"/>
      <c r="BR58" s="33"/>
      <c r="BS58" s="34"/>
      <c r="BT58" s="34"/>
      <c r="BU58" s="34"/>
      <c r="BV58" s="34"/>
      <c r="BW58" s="31"/>
      <c r="BX58" s="32"/>
      <c r="BY58" s="33"/>
      <c r="BZ58" s="33"/>
      <c r="CA58" s="34"/>
      <c r="CB58" s="34"/>
      <c r="CC58" s="34"/>
      <c r="CD58" s="34"/>
      <c r="CE58" s="31"/>
      <c r="CF58" s="32"/>
      <c r="CG58" s="33"/>
      <c r="CH58" s="33"/>
      <c r="CI58" s="34"/>
      <c r="CJ58" s="34"/>
      <c r="CK58" s="34"/>
      <c r="CL58" s="34"/>
      <c r="CM58" s="31"/>
      <c r="CN58" s="32"/>
      <c r="CO58" s="33"/>
      <c r="CP58" s="33"/>
      <c r="CQ58" s="34"/>
      <c r="CR58" s="34"/>
      <c r="CS58" s="34"/>
      <c r="CT58" s="34"/>
      <c r="CU58" s="31"/>
      <c r="CV58" s="32"/>
      <c r="CW58" s="33"/>
      <c r="CX58" s="33"/>
      <c r="CY58" s="34"/>
      <c r="CZ58" s="34"/>
      <c r="DA58" s="34"/>
      <c r="DB58" s="34"/>
      <c r="DC58" s="31"/>
      <c r="DD58" s="32"/>
      <c r="DE58" s="33"/>
      <c r="DF58" s="33"/>
      <c r="DG58" s="34"/>
      <c r="DH58" s="34"/>
      <c r="DI58" s="34"/>
      <c r="DJ58" s="34"/>
      <c r="DK58" s="31"/>
      <c r="DL58" s="32"/>
      <c r="DM58" s="33"/>
      <c r="DN58" s="33"/>
      <c r="DO58" s="34"/>
      <c r="DP58" s="34"/>
      <c r="DQ58" s="34"/>
      <c r="DR58" s="34"/>
      <c r="DS58" s="31"/>
      <c r="DT58" s="32"/>
      <c r="DU58" s="33"/>
      <c r="DV58" s="33"/>
      <c r="DW58" s="34"/>
      <c r="DX58" s="34"/>
      <c r="DY58" s="34"/>
      <c r="DZ58" s="34"/>
      <c r="EA58" s="31"/>
      <c r="EB58" s="32"/>
      <c r="EC58" s="33"/>
      <c r="ED58" s="33"/>
      <c r="EE58" s="34"/>
      <c r="EF58" s="34"/>
      <c r="EG58" s="34"/>
      <c r="EH58" s="34"/>
      <c r="EI58" s="31"/>
      <c r="EJ58" s="32"/>
      <c r="EK58" s="33"/>
      <c r="EL58" s="33"/>
      <c r="EM58" s="34"/>
      <c r="EN58" s="34"/>
      <c r="EO58" s="34"/>
      <c r="EP58" s="34"/>
      <c r="EQ58" s="31"/>
      <c r="ER58" s="32"/>
      <c r="ES58" s="33"/>
      <c r="ET58" s="33"/>
      <c r="EU58" s="34"/>
      <c r="EV58" s="34"/>
      <c r="EW58" s="34"/>
      <c r="EX58" s="34"/>
      <c r="EY58" s="31"/>
      <c r="EZ58" s="32"/>
      <c r="FA58" s="33"/>
      <c r="FB58" s="33"/>
      <c r="FC58" s="34"/>
      <c r="FD58" s="34"/>
      <c r="FE58" s="34"/>
      <c r="FF58" s="34"/>
      <c r="FG58" s="31"/>
      <c r="FH58" s="32"/>
      <c r="FI58" s="33"/>
      <c r="FJ58" s="33"/>
      <c r="FK58" s="34"/>
      <c r="FL58" s="34"/>
      <c r="FM58" s="34"/>
      <c r="FN58" s="34"/>
      <c r="FO58" s="31"/>
      <c r="FP58" s="32"/>
      <c r="FQ58" s="33"/>
      <c r="FR58" s="33"/>
      <c r="FS58" s="34"/>
      <c r="FT58" s="34"/>
      <c r="FU58" s="34"/>
      <c r="FV58" s="34"/>
      <c r="FW58" s="31"/>
      <c r="FX58" s="32"/>
      <c r="FY58" s="33"/>
      <c r="FZ58" s="33"/>
      <c r="GA58" s="34"/>
      <c r="GB58" s="34"/>
      <c r="GC58" s="34"/>
      <c r="GD58" s="34"/>
      <c r="GE58" s="31"/>
      <c r="GF58" s="32"/>
      <c r="GG58" s="33"/>
      <c r="GH58" s="33"/>
      <c r="GI58" s="34"/>
      <c r="GJ58" s="34"/>
      <c r="GK58" s="34"/>
      <c r="GL58" s="34"/>
      <c r="GM58" s="31"/>
      <c r="GN58" s="32"/>
      <c r="GO58" s="33"/>
      <c r="GP58" s="33"/>
      <c r="GQ58" s="34"/>
      <c r="GR58" s="34"/>
      <c r="GS58" s="34"/>
      <c r="GT58" s="34"/>
      <c r="GU58" s="31"/>
      <c r="GV58" s="32"/>
      <c r="GW58" s="33"/>
      <c r="GX58" s="33"/>
      <c r="GY58" s="34"/>
      <c r="GZ58" s="34"/>
      <c r="HA58" s="34"/>
      <c r="HB58" s="34"/>
      <c r="HC58" s="31"/>
      <c r="HD58" s="32"/>
      <c r="HE58" s="33"/>
      <c r="HF58" s="33"/>
      <c r="HG58" s="34"/>
      <c r="HH58" s="34"/>
      <c r="HI58" s="34"/>
      <c r="HJ58" s="34"/>
      <c r="HK58" s="31"/>
      <c r="HL58" s="32"/>
      <c r="HM58" s="33"/>
      <c r="HN58" s="33"/>
      <c r="HO58" s="34"/>
      <c r="HP58" s="34"/>
      <c r="HQ58" s="34"/>
      <c r="HR58" s="34"/>
      <c r="HS58" s="31"/>
      <c r="HT58" s="32"/>
      <c r="HU58" s="33"/>
      <c r="HV58" s="33"/>
      <c r="HW58" s="34"/>
      <c r="HX58" s="34"/>
      <c r="HY58" s="34"/>
      <c r="HZ58" s="34"/>
      <c r="IA58" s="31"/>
      <c r="IB58" s="32"/>
      <c r="IC58" s="33"/>
      <c r="ID58" s="33"/>
      <c r="IE58" s="34"/>
      <c r="IF58" s="34"/>
      <c r="IG58" s="34"/>
      <c r="IH58" s="34"/>
      <c r="II58" s="31"/>
      <c r="IJ58" s="32"/>
      <c r="IK58" s="33"/>
      <c r="IL58" s="33"/>
      <c r="IM58" s="34"/>
      <c r="IN58" s="34"/>
      <c r="IO58" s="34"/>
      <c r="IP58" s="34"/>
      <c r="IQ58" s="31"/>
      <c r="IR58" s="32"/>
      <c r="IS58" s="33"/>
      <c r="IT58" s="33"/>
      <c r="IU58" s="34"/>
    </row>
    <row r="59" spans="1:255" s="35" customFormat="1" ht="25.5">
      <c r="A59" s="22"/>
      <c r="B59" s="23" t="s">
        <v>363</v>
      </c>
      <c r="C59" s="26" t="s">
        <v>73</v>
      </c>
      <c r="D59" s="58">
        <v>104</v>
      </c>
      <c r="E59" s="25">
        <v>170703</v>
      </c>
      <c r="F59" s="25">
        <v>1171</v>
      </c>
      <c r="G59" s="58">
        <f>(10254+1367)/1000</f>
        <v>11.621</v>
      </c>
      <c r="H59" s="58">
        <f>8634/1000</f>
        <v>8.634</v>
      </c>
      <c r="I59" s="50" t="s">
        <v>374</v>
      </c>
      <c r="J59" s="25" t="s">
        <v>282</v>
      </c>
      <c r="K59" s="31"/>
      <c r="L59" s="32"/>
      <c r="M59" s="33"/>
      <c r="N59" s="33"/>
      <c r="O59" s="34"/>
      <c r="P59" s="34"/>
      <c r="Q59" s="34"/>
      <c r="R59" s="34"/>
      <c r="S59" s="31"/>
      <c r="T59" s="32"/>
      <c r="U59" s="33"/>
      <c r="V59" s="33"/>
      <c r="W59" s="34"/>
      <c r="X59" s="34"/>
      <c r="Y59" s="34"/>
      <c r="Z59" s="34"/>
      <c r="AA59" s="31"/>
      <c r="AB59" s="32"/>
      <c r="AC59" s="33"/>
      <c r="AD59" s="33"/>
      <c r="AE59" s="34"/>
      <c r="AF59" s="34"/>
      <c r="AG59" s="34"/>
      <c r="AH59" s="34"/>
      <c r="AI59" s="31"/>
      <c r="AJ59" s="32"/>
      <c r="AK59" s="33"/>
      <c r="AL59" s="33"/>
      <c r="AM59" s="34"/>
      <c r="AN59" s="34"/>
      <c r="AO59" s="34"/>
      <c r="AP59" s="34"/>
      <c r="AQ59" s="31"/>
      <c r="AR59" s="32"/>
      <c r="AS59" s="33"/>
      <c r="AT59" s="33"/>
      <c r="AU59" s="34"/>
      <c r="AV59" s="34"/>
      <c r="AW59" s="34"/>
      <c r="AX59" s="34"/>
      <c r="AY59" s="31"/>
      <c r="AZ59" s="32"/>
      <c r="BA59" s="33"/>
      <c r="BB59" s="33"/>
      <c r="BC59" s="34"/>
      <c r="BD59" s="34"/>
      <c r="BE59" s="34"/>
      <c r="BF59" s="34"/>
      <c r="BG59" s="31"/>
      <c r="BH59" s="32"/>
      <c r="BI59" s="33"/>
      <c r="BJ59" s="33"/>
      <c r="BK59" s="34"/>
      <c r="BL59" s="34"/>
      <c r="BM59" s="34"/>
      <c r="BN59" s="34"/>
      <c r="BO59" s="31"/>
      <c r="BP59" s="32"/>
      <c r="BQ59" s="33"/>
      <c r="BR59" s="33"/>
      <c r="BS59" s="34"/>
      <c r="BT59" s="34"/>
      <c r="BU59" s="34"/>
      <c r="BV59" s="34"/>
      <c r="BW59" s="31"/>
      <c r="BX59" s="32"/>
      <c r="BY59" s="33"/>
      <c r="BZ59" s="33"/>
      <c r="CA59" s="34"/>
      <c r="CB59" s="34"/>
      <c r="CC59" s="34"/>
      <c r="CD59" s="34"/>
      <c r="CE59" s="31"/>
      <c r="CF59" s="32"/>
      <c r="CG59" s="33"/>
      <c r="CH59" s="33"/>
      <c r="CI59" s="34"/>
      <c r="CJ59" s="34"/>
      <c r="CK59" s="34"/>
      <c r="CL59" s="34"/>
      <c r="CM59" s="31"/>
      <c r="CN59" s="32"/>
      <c r="CO59" s="33"/>
      <c r="CP59" s="33"/>
      <c r="CQ59" s="34"/>
      <c r="CR59" s="34"/>
      <c r="CS59" s="34"/>
      <c r="CT59" s="34"/>
      <c r="CU59" s="31"/>
      <c r="CV59" s="32"/>
      <c r="CW59" s="33"/>
      <c r="CX59" s="33"/>
      <c r="CY59" s="34"/>
      <c r="CZ59" s="34"/>
      <c r="DA59" s="34"/>
      <c r="DB59" s="34"/>
      <c r="DC59" s="31"/>
      <c r="DD59" s="32"/>
      <c r="DE59" s="33"/>
      <c r="DF59" s="33"/>
      <c r="DG59" s="34"/>
      <c r="DH59" s="34"/>
      <c r="DI59" s="34"/>
      <c r="DJ59" s="34"/>
      <c r="DK59" s="31"/>
      <c r="DL59" s="32"/>
      <c r="DM59" s="33"/>
      <c r="DN59" s="33"/>
      <c r="DO59" s="34"/>
      <c r="DP59" s="34"/>
      <c r="DQ59" s="34"/>
      <c r="DR59" s="34"/>
      <c r="DS59" s="31"/>
      <c r="DT59" s="32"/>
      <c r="DU59" s="33"/>
      <c r="DV59" s="33"/>
      <c r="DW59" s="34"/>
      <c r="DX59" s="34"/>
      <c r="DY59" s="34"/>
      <c r="DZ59" s="34"/>
      <c r="EA59" s="31"/>
      <c r="EB59" s="32"/>
      <c r="EC59" s="33"/>
      <c r="ED59" s="33"/>
      <c r="EE59" s="34"/>
      <c r="EF59" s="34"/>
      <c r="EG59" s="34"/>
      <c r="EH59" s="34"/>
      <c r="EI59" s="31"/>
      <c r="EJ59" s="32"/>
      <c r="EK59" s="33"/>
      <c r="EL59" s="33"/>
      <c r="EM59" s="34"/>
      <c r="EN59" s="34"/>
      <c r="EO59" s="34"/>
      <c r="EP59" s="34"/>
      <c r="EQ59" s="31"/>
      <c r="ER59" s="32"/>
      <c r="ES59" s="33"/>
      <c r="ET59" s="33"/>
      <c r="EU59" s="34"/>
      <c r="EV59" s="34"/>
      <c r="EW59" s="34"/>
      <c r="EX59" s="34"/>
      <c r="EY59" s="31"/>
      <c r="EZ59" s="32"/>
      <c r="FA59" s="33"/>
      <c r="FB59" s="33"/>
      <c r="FC59" s="34"/>
      <c r="FD59" s="34"/>
      <c r="FE59" s="34"/>
      <c r="FF59" s="34"/>
      <c r="FG59" s="31"/>
      <c r="FH59" s="32"/>
      <c r="FI59" s="33"/>
      <c r="FJ59" s="33"/>
      <c r="FK59" s="34"/>
      <c r="FL59" s="34"/>
      <c r="FM59" s="34"/>
      <c r="FN59" s="34"/>
      <c r="FO59" s="31"/>
      <c r="FP59" s="32"/>
      <c r="FQ59" s="33"/>
      <c r="FR59" s="33"/>
      <c r="FS59" s="34"/>
      <c r="FT59" s="34"/>
      <c r="FU59" s="34"/>
      <c r="FV59" s="34"/>
      <c r="FW59" s="31"/>
      <c r="FX59" s="32"/>
      <c r="FY59" s="33"/>
      <c r="FZ59" s="33"/>
      <c r="GA59" s="34"/>
      <c r="GB59" s="34"/>
      <c r="GC59" s="34"/>
      <c r="GD59" s="34"/>
      <c r="GE59" s="31"/>
      <c r="GF59" s="32"/>
      <c r="GG59" s="33"/>
      <c r="GH59" s="33"/>
      <c r="GI59" s="34"/>
      <c r="GJ59" s="34"/>
      <c r="GK59" s="34"/>
      <c r="GL59" s="34"/>
      <c r="GM59" s="31"/>
      <c r="GN59" s="32"/>
      <c r="GO59" s="33"/>
      <c r="GP59" s="33"/>
      <c r="GQ59" s="34"/>
      <c r="GR59" s="34"/>
      <c r="GS59" s="34"/>
      <c r="GT59" s="34"/>
      <c r="GU59" s="31"/>
      <c r="GV59" s="32"/>
      <c r="GW59" s="33"/>
      <c r="GX59" s="33"/>
      <c r="GY59" s="34"/>
      <c r="GZ59" s="34"/>
      <c r="HA59" s="34"/>
      <c r="HB59" s="34"/>
      <c r="HC59" s="31"/>
      <c r="HD59" s="32"/>
      <c r="HE59" s="33"/>
      <c r="HF59" s="33"/>
      <c r="HG59" s="34"/>
      <c r="HH59" s="34"/>
      <c r="HI59" s="34"/>
      <c r="HJ59" s="34"/>
      <c r="HK59" s="31"/>
      <c r="HL59" s="32"/>
      <c r="HM59" s="33"/>
      <c r="HN59" s="33"/>
      <c r="HO59" s="34"/>
      <c r="HP59" s="34"/>
      <c r="HQ59" s="34"/>
      <c r="HR59" s="34"/>
      <c r="HS59" s="31"/>
      <c r="HT59" s="32"/>
      <c r="HU59" s="33"/>
      <c r="HV59" s="33"/>
      <c r="HW59" s="34"/>
      <c r="HX59" s="34"/>
      <c r="HY59" s="34"/>
      <c r="HZ59" s="34"/>
      <c r="IA59" s="31"/>
      <c r="IB59" s="32"/>
      <c r="IC59" s="33"/>
      <c r="ID59" s="33"/>
      <c r="IE59" s="34"/>
      <c r="IF59" s="34"/>
      <c r="IG59" s="34"/>
      <c r="IH59" s="34"/>
      <c r="II59" s="31"/>
      <c r="IJ59" s="32"/>
      <c r="IK59" s="33"/>
      <c r="IL59" s="33"/>
      <c r="IM59" s="34"/>
      <c r="IN59" s="34"/>
      <c r="IO59" s="34"/>
      <c r="IP59" s="34"/>
      <c r="IQ59" s="31"/>
      <c r="IR59" s="32"/>
      <c r="IS59" s="33"/>
      <c r="IT59" s="33"/>
      <c r="IU59" s="34"/>
    </row>
    <row r="60" spans="1:255" s="35" customFormat="1" ht="12.75">
      <c r="A60" s="22"/>
      <c r="B60" s="23" t="s">
        <v>404</v>
      </c>
      <c r="C60" s="26" t="s">
        <v>80</v>
      </c>
      <c r="D60" s="58">
        <f>50+75+215</f>
        <v>340</v>
      </c>
      <c r="E60" s="25">
        <v>170703</v>
      </c>
      <c r="F60" s="25">
        <v>1171</v>
      </c>
      <c r="G60" s="58"/>
      <c r="H60" s="58">
        <f>(918+707+4062)/1000</f>
        <v>5.687</v>
      </c>
      <c r="I60" s="50" t="s">
        <v>374</v>
      </c>
      <c r="J60" s="25"/>
      <c r="K60" s="31"/>
      <c r="L60" s="32"/>
      <c r="M60" s="33"/>
      <c r="N60" s="33"/>
      <c r="O60" s="34"/>
      <c r="P60" s="34"/>
      <c r="Q60" s="34"/>
      <c r="R60" s="34"/>
      <c r="S60" s="31"/>
      <c r="T60" s="32"/>
      <c r="U60" s="33"/>
      <c r="V60" s="33"/>
      <c r="W60" s="34"/>
      <c r="X60" s="34"/>
      <c r="Y60" s="34"/>
      <c r="Z60" s="34"/>
      <c r="AA60" s="31"/>
      <c r="AB60" s="32"/>
      <c r="AC60" s="33"/>
      <c r="AD60" s="33"/>
      <c r="AE60" s="34"/>
      <c r="AF60" s="34"/>
      <c r="AG60" s="34"/>
      <c r="AH60" s="34"/>
      <c r="AI60" s="31"/>
      <c r="AJ60" s="32"/>
      <c r="AK60" s="33"/>
      <c r="AL60" s="33"/>
      <c r="AM60" s="34"/>
      <c r="AN60" s="34"/>
      <c r="AO60" s="34"/>
      <c r="AP60" s="34"/>
      <c r="AQ60" s="31"/>
      <c r="AR60" s="32"/>
      <c r="AS60" s="33"/>
      <c r="AT60" s="33"/>
      <c r="AU60" s="34"/>
      <c r="AV60" s="34"/>
      <c r="AW60" s="34"/>
      <c r="AX60" s="34"/>
      <c r="AY60" s="31"/>
      <c r="AZ60" s="32"/>
      <c r="BA60" s="33"/>
      <c r="BB60" s="33"/>
      <c r="BC60" s="34"/>
      <c r="BD60" s="34"/>
      <c r="BE60" s="34"/>
      <c r="BF60" s="34"/>
      <c r="BG60" s="31"/>
      <c r="BH60" s="32"/>
      <c r="BI60" s="33"/>
      <c r="BJ60" s="33"/>
      <c r="BK60" s="34"/>
      <c r="BL60" s="34"/>
      <c r="BM60" s="34"/>
      <c r="BN60" s="34"/>
      <c r="BO60" s="31"/>
      <c r="BP60" s="32"/>
      <c r="BQ60" s="33"/>
      <c r="BR60" s="33"/>
      <c r="BS60" s="34"/>
      <c r="BT60" s="34"/>
      <c r="BU60" s="34"/>
      <c r="BV60" s="34"/>
      <c r="BW60" s="31"/>
      <c r="BX60" s="32"/>
      <c r="BY60" s="33"/>
      <c r="BZ60" s="33"/>
      <c r="CA60" s="34"/>
      <c r="CB60" s="34"/>
      <c r="CC60" s="34"/>
      <c r="CD60" s="34"/>
      <c r="CE60" s="31"/>
      <c r="CF60" s="32"/>
      <c r="CG60" s="33"/>
      <c r="CH60" s="33"/>
      <c r="CI60" s="34"/>
      <c r="CJ60" s="34"/>
      <c r="CK60" s="34"/>
      <c r="CL60" s="34"/>
      <c r="CM60" s="31"/>
      <c r="CN60" s="32"/>
      <c r="CO60" s="33"/>
      <c r="CP60" s="33"/>
      <c r="CQ60" s="34"/>
      <c r="CR60" s="34"/>
      <c r="CS60" s="34"/>
      <c r="CT60" s="34"/>
      <c r="CU60" s="31"/>
      <c r="CV60" s="32"/>
      <c r="CW60" s="33"/>
      <c r="CX60" s="33"/>
      <c r="CY60" s="34"/>
      <c r="CZ60" s="34"/>
      <c r="DA60" s="34"/>
      <c r="DB60" s="34"/>
      <c r="DC60" s="31"/>
      <c r="DD60" s="32"/>
      <c r="DE60" s="33"/>
      <c r="DF60" s="33"/>
      <c r="DG60" s="34"/>
      <c r="DH60" s="34"/>
      <c r="DI60" s="34"/>
      <c r="DJ60" s="34"/>
      <c r="DK60" s="31"/>
      <c r="DL60" s="32"/>
      <c r="DM60" s="33"/>
      <c r="DN60" s="33"/>
      <c r="DO60" s="34"/>
      <c r="DP60" s="34"/>
      <c r="DQ60" s="34"/>
      <c r="DR60" s="34"/>
      <c r="DS60" s="31"/>
      <c r="DT60" s="32"/>
      <c r="DU60" s="33"/>
      <c r="DV60" s="33"/>
      <c r="DW60" s="34"/>
      <c r="DX60" s="34"/>
      <c r="DY60" s="34"/>
      <c r="DZ60" s="34"/>
      <c r="EA60" s="31"/>
      <c r="EB60" s="32"/>
      <c r="EC60" s="33"/>
      <c r="ED60" s="33"/>
      <c r="EE60" s="34"/>
      <c r="EF60" s="34"/>
      <c r="EG60" s="34"/>
      <c r="EH60" s="34"/>
      <c r="EI60" s="31"/>
      <c r="EJ60" s="32"/>
      <c r="EK60" s="33"/>
      <c r="EL60" s="33"/>
      <c r="EM60" s="34"/>
      <c r="EN60" s="34"/>
      <c r="EO60" s="34"/>
      <c r="EP60" s="34"/>
      <c r="EQ60" s="31"/>
      <c r="ER60" s="32"/>
      <c r="ES60" s="33"/>
      <c r="ET60" s="33"/>
      <c r="EU60" s="34"/>
      <c r="EV60" s="34"/>
      <c r="EW60" s="34"/>
      <c r="EX60" s="34"/>
      <c r="EY60" s="31"/>
      <c r="EZ60" s="32"/>
      <c r="FA60" s="33"/>
      <c r="FB60" s="33"/>
      <c r="FC60" s="34"/>
      <c r="FD60" s="34"/>
      <c r="FE60" s="34"/>
      <c r="FF60" s="34"/>
      <c r="FG60" s="31"/>
      <c r="FH60" s="32"/>
      <c r="FI60" s="33"/>
      <c r="FJ60" s="33"/>
      <c r="FK60" s="34"/>
      <c r="FL60" s="34"/>
      <c r="FM60" s="34"/>
      <c r="FN60" s="34"/>
      <c r="FO60" s="31"/>
      <c r="FP60" s="32"/>
      <c r="FQ60" s="33"/>
      <c r="FR60" s="33"/>
      <c r="FS60" s="34"/>
      <c r="FT60" s="34"/>
      <c r="FU60" s="34"/>
      <c r="FV60" s="34"/>
      <c r="FW60" s="31"/>
      <c r="FX60" s="32"/>
      <c r="FY60" s="33"/>
      <c r="FZ60" s="33"/>
      <c r="GA60" s="34"/>
      <c r="GB60" s="34"/>
      <c r="GC60" s="34"/>
      <c r="GD60" s="34"/>
      <c r="GE60" s="31"/>
      <c r="GF60" s="32"/>
      <c r="GG60" s="33"/>
      <c r="GH60" s="33"/>
      <c r="GI60" s="34"/>
      <c r="GJ60" s="34"/>
      <c r="GK60" s="34"/>
      <c r="GL60" s="34"/>
      <c r="GM60" s="31"/>
      <c r="GN60" s="32"/>
      <c r="GO60" s="33"/>
      <c r="GP60" s="33"/>
      <c r="GQ60" s="34"/>
      <c r="GR60" s="34"/>
      <c r="GS60" s="34"/>
      <c r="GT60" s="34"/>
      <c r="GU60" s="31"/>
      <c r="GV60" s="32"/>
      <c r="GW60" s="33"/>
      <c r="GX60" s="33"/>
      <c r="GY60" s="34"/>
      <c r="GZ60" s="34"/>
      <c r="HA60" s="34"/>
      <c r="HB60" s="34"/>
      <c r="HC60" s="31"/>
      <c r="HD60" s="32"/>
      <c r="HE60" s="33"/>
      <c r="HF60" s="33"/>
      <c r="HG60" s="34"/>
      <c r="HH60" s="34"/>
      <c r="HI60" s="34"/>
      <c r="HJ60" s="34"/>
      <c r="HK60" s="31"/>
      <c r="HL60" s="32"/>
      <c r="HM60" s="33"/>
      <c r="HN60" s="33"/>
      <c r="HO60" s="34"/>
      <c r="HP60" s="34"/>
      <c r="HQ60" s="34"/>
      <c r="HR60" s="34"/>
      <c r="HS60" s="31"/>
      <c r="HT60" s="32"/>
      <c r="HU60" s="33"/>
      <c r="HV60" s="33"/>
      <c r="HW60" s="34"/>
      <c r="HX60" s="34"/>
      <c r="HY60" s="34"/>
      <c r="HZ60" s="34"/>
      <c r="IA60" s="31"/>
      <c r="IB60" s="32"/>
      <c r="IC60" s="33"/>
      <c r="ID60" s="33"/>
      <c r="IE60" s="34"/>
      <c r="IF60" s="34"/>
      <c r="IG60" s="34"/>
      <c r="IH60" s="34"/>
      <c r="II60" s="31"/>
      <c r="IJ60" s="32"/>
      <c r="IK60" s="33"/>
      <c r="IL60" s="33"/>
      <c r="IM60" s="34"/>
      <c r="IN60" s="34"/>
      <c r="IO60" s="34"/>
      <c r="IP60" s="34"/>
      <c r="IQ60" s="31"/>
      <c r="IR60" s="32"/>
      <c r="IS60" s="33"/>
      <c r="IT60" s="33"/>
      <c r="IU60" s="34"/>
    </row>
    <row r="61" spans="1:255" s="35" customFormat="1" ht="12.75">
      <c r="A61" s="22"/>
      <c r="B61" s="23" t="s">
        <v>364</v>
      </c>
      <c r="C61" s="26" t="s">
        <v>84</v>
      </c>
      <c r="D61" s="58" t="s">
        <v>295</v>
      </c>
      <c r="E61" s="25">
        <v>170703</v>
      </c>
      <c r="F61" s="25">
        <v>1171</v>
      </c>
      <c r="G61" s="58"/>
      <c r="H61" s="58">
        <f>350/1000</f>
        <v>0.35</v>
      </c>
      <c r="I61" s="50" t="s">
        <v>374</v>
      </c>
      <c r="J61" s="25"/>
      <c r="K61" s="31"/>
      <c r="L61" s="32"/>
      <c r="M61" s="33"/>
      <c r="N61" s="33"/>
      <c r="O61" s="34"/>
      <c r="P61" s="34"/>
      <c r="Q61" s="34"/>
      <c r="R61" s="34"/>
      <c r="S61" s="31"/>
      <c r="T61" s="32"/>
      <c r="U61" s="33"/>
      <c r="V61" s="33"/>
      <c r="W61" s="34"/>
      <c r="X61" s="34"/>
      <c r="Y61" s="34"/>
      <c r="Z61" s="34"/>
      <c r="AA61" s="31"/>
      <c r="AB61" s="32"/>
      <c r="AC61" s="33"/>
      <c r="AD61" s="33"/>
      <c r="AE61" s="34"/>
      <c r="AF61" s="34"/>
      <c r="AG61" s="34"/>
      <c r="AH61" s="34"/>
      <c r="AI61" s="31"/>
      <c r="AJ61" s="32"/>
      <c r="AK61" s="33"/>
      <c r="AL61" s="33"/>
      <c r="AM61" s="34"/>
      <c r="AN61" s="34"/>
      <c r="AO61" s="34"/>
      <c r="AP61" s="34"/>
      <c r="AQ61" s="31"/>
      <c r="AR61" s="32"/>
      <c r="AS61" s="33"/>
      <c r="AT61" s="33"/>
      <c r="AU61" s="34"/>
      <c r="AV61" s="34"/>
      <c r="AW61" s="34"/>
      <c r="AX61" s="34"/>
      <c r="AY61" s="31"/>
      <c r="AZ61" s="32"/>
      <c r="BA61" s="33"/>
      <c r="BB61" s="33"/>
      <c r="BC61" s="34"/>
      <c r="BD61" s="34"/>
      <c r="BE61" s="34"/>
      <c r="BF61" s="34"/>
      <c r="BG61" s="31"/>
      <c r="BH61" s="32"/>
      <c r="BI61" s="33"/>
      <c r="BJ61" s="33"/>
      <c r="BK61" s="34"/>
      <c r="BL61" s="34"/>
      <c r="BM61" s="34"/>
      <c r="BN61" s="34"/>
      <c r="BO61" s="31"/>
      <c r="BP61" s="32"/>
      <c r="BQ61" s="33"/>
      <c r="BR61" s="33"/>
      <c r="BS61" s="34"/>
      <c r="BT61" s="34"/>
      <c r="BU61" s="34"/>
      <c r="BV61" s="34"/>
      <c r="BW61" s="31"/>
      <c r="BX61" s="32"/>
      <c r="BY61" s="33"/>
      <c r="BZ61" s="33"/>
      <c r="CA61" s="34"/>
      <c r="CB61" s="34"/>
      <c r="CC61" s="34"/>
      <c r="CD61" s="34"/>
      <c r="CE61" s="31"/>
      <c r="CF61" s="32"/>
      <c r="CG61" s="33"/>
      <c r="CH61" s="33"/>
      <c r="CI61" s="34"/>
      <c r="CJ61" s="34"/>
      <c r="CK61" s="34"/>
      <c r="CL61" s="34"/>
      <c r="CM61" s="31"/>
      <c r="CN61" s="32"/>
      <c r="CO61" s="33"/>
      <c r="CP61" s="33"/>
      <c r="CQ61" s="34"/>
      <c r="CR61" s="34"/>
      <c r="CS61" s="34"/>
      <c r="CT61" s="34"/>
      <c r="CU61" s="31"/>
      <c r="CV61" s="32"/>
      <c r="CW61" s="33"/>
      <c r="CX61" s="33"/>
      <c r="CY61" s="34"/>
      <c r="CZ61" s="34"/>
      <c r="DA61" s="34"/>
      <c r="DB61" s="34"/>
      <c r="DC61" s="31"/>
      <c r="DD61" s="32"/>
      <c r="DE61" s="33"/>
      <c r="DF61" s="33"/>
      <c r="DG61" s="34"/>
      <c r="DH61" s="34"/>
      <c r="DI61" s="34"/>
      <c r="DJ61" s="34"/>
      <c r="DK61" s="31"/>
      <c r="DL61" s="32"/>
      <c r="DM61" s="33"/>
      <c r="DN61" s="33"/>
      <c r="DO61" s="34"/>
      <c r="DP61" s="34"/>
      <c r="DQ61" s="34"/>
      <c r="DR61" s="34"/>
      <c r="DS61" s="31"/>
      <c r="DT61" s="32"/>
      <c r="DU61" s="33"/>
      <c r="DV61" s="33"/>
      <c r="DW61" s="34"/>
      <c r="DX61" s="34"/>
      <c r="DY61" s="34"/>
      <c r="DZ61" s="34"/>
      <c r="EA61" s="31"/>
      <c r="EB61" s="32"/>
      <c r="EC61" s="33"/>
      <c r="ED61" s="33"/>
      <c r="EE61" s="34"/>
      <c r="EF61" s="34"/>
      <c r="EG61" s="34"/>
      <c r="EH61" s="34"/>
      <c r="EI61" s="31"/>
      <c r="EJ61" s="32"/>
      <c r="EK61" s="33"/>
      <c r="EL61" s="33"/>
      <c r="EM61" s="34"/>
      <c r="EN61" s="34"/>
      <c r="EO61" s="34"/>
      <c r="EP61" s="34"/>
      <c r="EQ61" s="31"/>
      <c r="ER61" s="32"/>
      <c r="ES61" s="33"/>
      <c r="ET61" s="33"/>
      <c r="EU61" s="34"/>
      <c r="EV61" s="34"/>
      <c r="EW61" s="34"/>
      <c r="EX61" s="34"/>
      <c r="EY61" s="31"/>
      <c r="EZ61" s="32"/>
      <c r="FA61" s="33"/>
      <c r="FB61" s="33"/>
      <c r="FC61" s="34"/>
      <c r="FD61" s="34"/>
      <c r="FE61" s="34"/>
      <c r="FF61" s="34"/>
      <c r="FG61" s="31"/>
      <c r="FH61" s="32"/>
      <c r="FI61" s="33"/>
      <c r="FJ61" s="33"/>
      <c r="FK61" s="34"/>
      <c r="FL61" s="34"/>
      <c r="FM61" s="34"/>
      <c r="FN61" s="34"/>
      <c r="FO61" s="31"/>
      <c r="FP61" s="32"/>
      <c r="FQ61" s="33"/>
      <c r="FR61" s="33"/>
      <c r="FS61" s="34"/>
      <c r="FT61" s="34"/>
      <c r="FU61" s="34"/>
      <c r="FV61" s="34"/>
      <c r="FW61" s="31"/>
      <c r="FX61" s="32"/>
      <c r="FY61" s="33"/>
      <c r="FZ61" s="33"/>
      <c r="GA61" s="34"/>
      <c r="GB61" s="34"/>
      <c r="GC61" s="34"/>
      <c r="GD61" s="34"/>
      <c r="GE61" s="31"/>
      <c r="GF61" s="32"/>
      <c r="GG61" s="33"/>
      <c r="GH61" s="33"/>
      <c r="GI61" s="34"/>
      <c r="GJ61" s="34"/>
      <c r="GK61" s="34"/>
      <c r="GL61" s="34"/>
      <c r="GM61" s="31"/>
      <c r="GN61" s="32"/>
      <c r="GO61" s="33"/>
      <c r="GP61" s="33"/>
      <c r="GQ61" s="34"/>
      <c r="GR61" s="34"/>
      <c r="GS61" s="34"/>
      <c r="GT61" s="34"/>
      <c r="GU61" s="31"/>
      <c r="GV61" s="32"/>
      <c r="GW61" s="33"/>
      <c r="GX61" s="33"/>
      <c r="GY61" s="34"/>
      <c r="GZ61" s="34"/>
      <c r="HA61" s="34"/>
      <c r="HB61" s="34"/>
      <c r="HC61" s="31"/>
      <c r="HD61" s="32"/>
      <c r="HE61" s="33"/>
      <c r="HF61" s="33"/>
      <c r="HG61" s="34"/>
      <c r="HH61" s="34"/>
      <c r="HI61" s="34"/>
      <c r="HJ61" s="34"/>
      <c r="HK61" s="31"/>
      <c r="HL61" s="32"/>
      <c r="HM61" s="33"/>
      <c r="HN61" s="33"/>
      <c r="HO61" s="34"/>
      <c r="HP61" s="34"/>
      <c r="HQ61" s="34"/>
      <c r="HR61" s="34"/>
      <c r="HS61" s="31"/>
      <c r="HT61" s="32"/>
      <c r="HU61" s="33"/>
      <c r="HV61" s="33"/>
      <c r="HW61" s="34"/>
      <c r="HX61" s="34"/>
      <c r="HY61" s="34"/>
      <c r="HZ61" s="34"/>
      <c r="IA61" s="31"/>
      <c r="IB61" s="32"/>
      <c r="IC61" s="33"/>
      <c r="ID61" s="33"/>
      <c r="IE61" s="34"/>
      <c r="IF61" s="34"/>
      <c r="IG61" s="34"/>
      <c r="IH61" s="34"/>
      <c r="II61" s="31"/>
      <c r="IJ61" s="32"/>
      <c r="IK61" s="33"/>
      <c r="IL61" s="33"/>
      <c r="IM61" s="34"/>
      <c r="IN61" s="34"/>
      <c r="IO61" s="34"/>
      <c r="IP61" s="34"/>
      <c r="IQ61" s="31"/>
      <c r="IR61" s="32"/>
      <c r="IS61" s="33"/>
      <c r="IT61" s="33"/>
      <c r="IU61" s="34"/>
    </row>
    <row r="62" spans="1:255" s="35" customFormat="1" ht="12.75">
      <c r="A62" s="22"/>
      <c r="B62" s="23" t="s">
        <v>405</v>
      </c>
      <c r="C62" s="26" t="s">
        <v>73</v>
      </c>
      <c r="D62" s="58">
        <f>75+25</f>
        <v>100</v>
      </c>
      <c r="E62" s="25">
        <v>170703</v>
      </c>
      <c r="F62" s="25">
        <v>1171</v>
      </c>
      <c r="G62" s="58"/>
      <c r="H62" s="58">
        <f>(2764+912)/1000</f>
        <v>3.676</v>
      </c>
      <c r="I62" s="50" t="s">
        <v>374</v>
      </c>
      <c r="J62" s="25"/>
      <c r="K62" s="31"/>
      <c r="L62" s="32"/>
      <c r="M62" s="33"/>
      <c r="N62" s="33"/>
      <c r="O62" s="34"/>
      <c r="P62" s="34"/>
      <c r="Q62" s="34"/>
      <c r="R62" s="34"/>
      <c r="S62" s="31"/>
      <c r="T62" s="32"/>
      <c r="U62" s="33"/>
      <c r="V62" s="33"/>
      <c r="W62" s="34"/>
      <c r="X62" s="34"/>
      <c r="Y62" s="34"/>
      <c r="Z62" s="34"/>
      <c r="AA62" s="31"/>
      <c r="AB62" s="32"/>
      <c r="AC62" s="33"/>
      <c r="AD62" s="33"/>
      <c r="AE62" s="34"/>
      <c r="AF62" s="34"/>
      <c r="AG62" s="34"/>
      <c r="AH62" s="34"/>
      <c r="AI62" s="31"/>
      <c r="AJ62" s="32"/>
      <c r="AK62" s="33"/>
      <c r="AL62" s="33"/>
      <c r="AM62" s="34"/>
      <c r="AN62" s="34"/>
      <c r="AO62" s="34"/>
      <c r="AP62" s="34"/>
      <c r="AQ62" s="31"/>
      <c r="AR62" s="32"/>
      <c r="AS62" s="33"/>
      <c r="AT62" s="33"/>
      <c r="AU62" s="34"/>
      <c r="AV62" s="34"/>
      <c r="AW62" s="34"/>
      <c r="AX62" s="34"/>
      <c r="AY62" s="31"/>
      <c r="AZ62" s="32"/>
      <c r="BA62" s="33"/>
      <c r="BB62" s="33"/>
      <c r="BC62" s="34"/>
      <c r="BD62" s="34"/>
      <c r="BE62" s="34"/>
      <c r="BF62" s="34"/>
      <c r="BG62" s="31"/>
      <c r="BH62" s="32"/>
      <c r="BI62" s="33"/>
      <c r="BJ62" s="33"/>
      <c r="BK62" s="34"/>
      <c r="BL62" s="34"/>
      <c r="BM62" s="34"/>
      <c r="BN62" s="34"/>
      <c r="BO62" s="31"/>
      <c r="BP62" s="32"/>
      <c r="BQ62" s="33"/>
      <c r="BR62" s="33"/>
      <c r="BS62" s="34"/>
      <c r="BT62" s="34"/>
      <c r="BU62" s="34"/>
      <c r="BV62" s="34"/>
      <c r="BW62" s="31"/>
      <c r="BX62" s="32"/>
      <c r="BY62" s="33"/>
      <c r="BZ62" s="33"/>
      <c r="CA62" s="34"/>
      <c r="CB62" s="34"/>
      <c r="CC62" s="34"/>
      <c r="CD62" s="34"/>
      <c r="CE62" s="31"/>
      <c r="CF62" s="32"/>
      <c r="CG62" s="33"/>
      <c r="CH62" s="33"/>
      <c r="CI62" s="34"/>
      <c r="CJ62" s="34"/>
      <c r="CK62" s="34"/>
      <c r="CL62" s="34"/>
      <c r="CM62" s="31"/>
      <c r="CN62" s="32"/>
      <c r="CO62" s="33"/>
      <c r="CP62" s="33"/>
      <c r="CQ62" s="34"/>
      <c r="CR62" s="34"/>
      <c r="CS62" s="34"/>
      <c r="CT62" s="34"/>
      <c r="CU62" s="31"/>
      <c r="CV62" s="32"/>
      <c r="CW62" s="33"/>
      <c r="CX62" s="33"/>
      <c r="CY62" s="34"/>
      <c r="CZ62" s="34"/>
      <c r="DA62" s="34"/>
      <c r="DB62" s="34"/>
      <c r="DC62" s="31"/>
      <c r="DD62" s="32"/>
      <c r="DE62" s="33"/>
      <c r="DF62" s="33"/>
      <c r="DG62" s="34"/>
      <c r="DH62" s="34"/>
      <c r="DI62" s="34"/>
      <c r="DJ62" s="34"/>
      <c r="DK62" s="31"/>
      <c r="DL62" s="32"/>
      <c r="DM62" s="33"/>
      <c r="DN62" s="33"/>
      <c r="DO62" s="34"/>
      <c r="DP62" s="34"/>
      <c r="DQ62" s="34"/>
      <c r="DR62" s="34"/>
      <c r="DS62" s="31"/>
      <c r="DT62" s="32"/>
      <c r="DU62" s="33"/>
      <c r="DV62" s="33"/>
      <c r="DW62" s="34"/>
      <c r="DX62" s="34"/>
      <c r="DY62" s="34"/>
      <c r="DZ62" s="34"/>
      <c r="EA62" s="31"/>
      <c r="EB62" s="32"/>
      <c r="EC62" s="33"/>
      <c r="ED62" s="33"/>
      <c r="EE62" s="34"/>
      <c r="EF62" s="34"/>
      <c r="EG62" s="34"/>
      <c r="EH62" s="34"/>
      <c r="EI62" s="31"/>
      <c r="EJ62" s="32"/>
      <c r="EK62" s="33"/>
      <c r="EL62" s="33"/>
      <c r="EM62" s="34"/>
      <c r="EN62" s="34"/>
      <c r="EO62" s="34"/>
      <c r="EP62" s="34"/>
      <c r="EQ62" s="31"/>
      <c r="ER62" s="32"/>
      <c r="ES62" s="33"/>
      <c r="ET62" s="33"/>
      <c r="EU62" s="34"/>
      <c r="EV62" s="34"/>
      <c r="EW62" s="34"/>
      <c r="EX62" s="34"/>
      <c r="EY62" s="31"/>
      <c r="EZ62" s="32"/>
      <c r="FA62" s="33"/>
      <c r="FB62" s="33"/>
      <c r="FC62" s="34"/>
      <c r="FD62" s="34"/>
      <c r="FE62" s="34"/>
      <c r="FF62" s="34"/>
      <c r="FG62" s="31"/>
      <c r="FH62" s="32"/>
      <c r="FI62" s="33"/>
      <c r="FJ62" s="33"/>
      <c r="FK62" s="34"/>
      <c r="FL62" s="34"/>
      <c r="FM62" s="34"/>
      <c r="FN62" s="34"/>
      <c r="FO62" s="31"/>
      <c r="FP62" s="32"/>
      <c r="FQ62" s="33"/>
      <c r="FR62" s="33"/>
      <c r="FS62" s="34"/>
      <c r="FT62" s="34"/>
      <c r="FU62" s="34"/>
      <c r="FV62" s="34"/>
      <c r="FW62" s="31"/>
      <c r="FX62" s="32"/>
      <c r="FY62" s="33"/>
      <c r="FZ62" s="33"/>
      <c r="GA62" s="34"/>
      <c r="GB62" s="34"/>
      <c r="GC62" s="34"/>
      <c r="GD62" s="34"/>
      <c r="GE62" s="31"/>
      <c r="GF62" s="32"/>
      <c r="GG62" s="33"/>
      <c r="GH62" s="33"/>
      <c r="GI62" s="34"/>
      <c r="GJ62" s="34"/>
      <c r="GK62" s="34"/>
      <c r="GL62" s="34"/>
      <c r="GM62" s="31"/>
      <c r="GN62" s="32"/>
      <c r="GO62" s="33"/>
      <c r="GP62" s="33"/>
      <c r="GQ62" s="34"/>
      <c r="GR62" s="34"/>
      <c r="GS62" s="34"/>
      <c r="GT62" s="34"/>
      <c r="GU62" s="31"/>
      <c r="GV62" s="32"/>
      <c r="GW62" s="33"/>
      <c r="GX62" s="33"/>
      <c r="GY62" s="34"/>
      <c r="GZ62" s="34"/>
      <c r="HA62" s="34"/>
      <c r="HB62" s="34"/>
      <c r="HC62" s="31"/>
      <c r="HD62" s="32"/>
      <c r="HE62" s="33"/>
      <c r="HF62" s="33"/>
      <c r="HG62" s="34"/>
      <c r="HH62" s="34"/>
      <c r="HI62" s="34"/>
      <c r="HJ62" s="34"/>
      <c r="HK62" s="31"/>
      <c r="HL62" s="32"/>
      <c r="HM62" s="33"/>
      <c r="HN62" s="33"/>
      <c r="HO62" s="34"/>
      <c r="HP62" s="34"/>
      <c r="HQ62" s="34"/>
      <c r="HR62" s="34"/>
      <c r="HS62" s="31"/>
      <c r="HT62" s="32"/>
      <c r="HU62" s="33"/>
      <c r="HV62" s="33"/>
      <c r="HW62" s="34"/>
      <c r="HX62" s="34"/>
      <c r="HY62" s="34"/>
      <c r="HZ62" s="34"/>
      <c r="IA62" s="31"/>
      <c r="IB62" s="32"/>
      <c r="IC62" s="33"/>
      <c r="ID62" s="33"/>
      <c r="IE62" s="34"/>
      <c r="IF62" s="34"/>
      <c r="IG62" s="34"/>
      <c r="IH62" s="34"/>
      <c r="II62" s="31"/>
      <c r="IJ62" s="32"/>
      <c r="IK62" s="33"/>
      <c r="IL62" s="33"/>
      <c r="IM62" s="34"/>
      <c r="IN62" s="34"/>
      <c r="IO62" s="34"/>
      <c r="IP62" s="34"/>
      <c r="IQ62" s="31"/>
      <c r="IR62" s="32"/>
      <c r="IS62" s="33"/>
      <c r="IT62" s="33"/>
      <c r="IU62" s="34"/>
    </row>
    <row r="63" spans="1:255" s="35" customFormat="1" ht="12.75">
      <c r="A63" s="22"/>
      <c r="B63" s="23" t="s">
        <v>365</v>
      </c>
      <c r="C63" s="26" t="s">
        <v>73</v>
      </c>
      <c r="D63" s="58">
        <v>104</v>
      </c>
      <c r="E63" s="25">
        <v>170703</v>
      </c>
      <c r="F63" s="25">
        <v>1171</v>
      </c>
      <c r="G63" s="58"/>
      <c r="H63" s="58">
        <f>1367/1000</f>
        <v>1.367</v>
      </c>
      <c r="I63" s="50" t="s">
        <v>375</v>
      </c>
      <c r="J63" s="25"/>
      <c r="K63" s="31"/>
      <c r="L63" s="32"/>
      <c r="M63" s="33"/>
      <c r="N63" s="33"/>
      <c r="O63" s="34"/>
      <c r="P63" s="34"/>
      <c r="Q63" s="34"/>
      <c r="R63" s="34"/>
      <c r="S63" s="31"/>
      <c r="T63" s="32"/>
      <c r="U63" s="33"/>
      <c r="V63" s="33"/>
      <c r="W63" s="34"/>
      <c r="X63" s="34"/>
      <c r="Y63" s="34"/>
      <c r="Z63" s="34"/>
      <c r="AA63" s="31"/>
      <c r="AB63" s="32"/>
      <c r="AC63" s="33"/>
      <c r="AD63" s="33"/>
      <c r="AE63" s="34"/>
      <c r="AF63" s="34"/>
      <c r="AG63" s="34"/>
      <c r="AH63" s="34"/>
      <c r="AI63" s="31"/>
      <c r="AJ63" s="32"/>
      <c r="AK63" s="33"/>
      <c r="AL63" s="33"/>
      <c r="AM63" s="34"/>
      <c r="AN63" s="34"/>
      <c r="AO63" s="34"/>
      <c r="AP63" s="34"/>
      <c r="AQ63" s="31"/>
      <c r="AR63" s="32"/>
      <c r="AS63" s="33"/>
      <c r="AT63" s="33"/>
      <c r="AU63" s="34"/>
      <c r="AV63" s="34"/>
      <c r="AW63" s="34"/>
      <c r="AX63" s="34"/>
      <c r="AY63" s="31"/>
      <c r="AZ63" s="32"/>
      <c r="BA63" s="33"/>
      <c r="BB63" s="33"/>
      <c r="BC63" s="34"/>
      <c r="BD63" s="34"/>
      <c r="BE63" s="34"/>
      <c r="BF63" s="34"/>
      <c r="BG63" s="31"/>
      <c r="BH63" s="32"/>
      <c r="BI63" s="33"/>
      <c r="BJ63" s="33"/>
      <c r="BK63" s="34"/>
      <c r="BL63" s="34"/>
      <c r="BM63" s="34"/>
      <c r="BN63" s="34"/>
      <c r="BO63" s="31"/>
      <c r="BP63" s="32"/>
      <c r="BQ63" s="33"/>
      <c r="BR63" s="33"/>
      <c r="BS63" s="34"/>
      <c r="BT63" s="34"/>
      <c r="BU63" s="34"/>
      <c r="BV63" s="34"/>
      <c r="BW63" s="31"/>
      <c r="BX63" s="32"/>
      <c r="BY63" s="33"/>
      <c r="BZ63" s="33"/>
      <c r="CA63" s="34"/>
      <c r="CB63" s="34"/>
      <c r="CC63" s="34"/>
      <c r="CD63" s="34"/>
      <c r="CE63" s="31"/>
      <c r="CF63" s="32"/>
      <c r="CG63" s="33"/>
      <c r="CH63" s="33"/>
      <c r="CI63" s="34"/>
      <c r="CJ63" s="34"/>
      <c r="CK63" s="34"/>
      <c r="CL63" s="34"/>
      <c r="CM63" s="31"/>
      <c r="CN63" s="32"/>
      <c r="CO63" s="33"/>
      <c r="CP63" s="33"/>
      <c r="CQ63" s="34"/>
      <c r="CR63" s="34"/>
      <c r="CS63" s="34"/>
      <c r="CT63" s="34"/>
      <c r="CU63" s="31"/>
      <c r="CV63" s="32"/>
      <c r="CW63" s="33"/>
      <c r="CX63" s="33"/>
      <c r="CY63" s="34"/>
      <c r="CZ63" s="34"/>
      <c r="DA63" s="34"/>
      <c r="DB63" s="34"/>
      <c r="DC63" s="31"/>
      <c r="DD63" s="32"/>
      <c r="DE63" s="33"/>
      <c r="DF63" s="33"/>
      <c r="DG63" s="34"/>
      <c r="DH63" s="34"/>
      <c r="DI63" s="34"/>
      <c r="DJ63" s="34"/>
      <c r="DK63" s="31"/>
      <c r="DL63" s="32"/>
      <c r="DM63" s="33"/>
      <c r="DN63" s="33"/>
      <c r="DO63" s="34"/>
      <c r="DP63" s="34"/>
      <c r="DQ63" s="34"/>
      <c r="DR63" s="34"/>
      <c r="DS63" s="31"/>
      <c r="DT63" s="32"/>
      <c r="DU63" s="33"/>
      <c r="DV63" s="33"/>
      <c r="DW63" s="34"/>
      <c r="DX63" s="34"/>
      <c r="DY63" s="34"/>
      <c r="DZ63" s="34"/>
      <c r="EA63" s="31"/>
      <c r="EB63" s="32"/>
      <c r="EC63" s="33"/>
      <c r="ED63" s="33"/>
      <c r="EE63" s="34"/>
      <c r="EF63" s="34"/>
      <c r="EG63" s="34"/>
      <c r="EH63" s="34"/>
      <c r="EI63" s="31"/>
      <c r="EJ63" s="32"/>
      <c r="EK63" s="33"/>
      <c r="EL63" s="33"/>
      <c r="EM63" s="34"/>
      <c r="EN63" s="34"/>
      <c r="EO63" s="34"/>
      <c r="EP63" s="34"/>
      <c r="EQ63" s="31"/>
      <c r="ER63" s="32"/>
      <c r="ES63" s="33"/>
      <c r="ET63" s="33"/>
      <c r="EU63" s="34"/>
      <c r="EV63" s="34"/>
      <c r="EW63" s="34"/>
      <c r="EX63" s="34"/>
      <c r="EY63" s="31"/>
      <c r="EZ63" s="32"/>
      <c r="FA63" s="33"/>
      <c r="FB63" s="33"/>
      <c r="FC63" s="34"/>
      <c r="FD63" s="34"/>
      <c r="FE63" s="34"/>
      <c r="FF63" s="34"/>
      <c r="FG63" s="31"/>
      <c r="FH63" s="32"/>
      <c r="FI63" s="33"/>
      <c r="FJ63" s="33"/>
      <c r="FK63" s="34"/>
      <c r="FL63" s="34"/>
      <c r="FM63" s="34"/>
      <c r="FN63" s="34"/>
      <c r="FO63" s="31"/>
      <c r="FP63" s="32"/>
      <c r="FQ63" s="33"/>
      <c r="FR63" s="33"/>
      <c r="FS63" s="34"/>
      <c r="FT63" s="34"/>
      <c r="FU63" s="34"/>
      <c r="FV63" s="34"/>
      <c r="FW63" s="31"/>
      <c r="FX63" s="32"/>
      <c r="FY63" s="33"/>
      <c r="FZ63" s="33"/>
      <c r="GA63" s="34"/>
      <c r="GB63" s="34"/>
      <c r="GC63" s="34"/>
      <c r="GD63" s="34"/>
      <c r="GE63" s="31"/>
      <c r="GF63" s="32"/>
      <c r="GG63" s="33"/>
      <c r="GH63" s="33"/>
      <c r="GI63" s="34"/>
      <c r="GJ63" s="34"/>
      <c r="GK63" s="34"/>
      <c r="GL63" s="34"/>
      <c r="GM63" s="31"/>
      <c r="GN63" s="32"/>
      <c r="GO63" s="33"/>
      <c r="GP63" s="33"/>
      <c r="GQ63" s="34"/>
      <c r="GR63" s="34"/>
      <c r="GS63" s="34"/>
      <c r="GT63" s="34"/>
      <c r="GU63" s="31"/>
      <c r="GV63" s="32"/>
      <c r="GW63" s="33"/>
      <c r="GX63" s="33"/>
      <c r="GY63" s="34"/>
      <c r="GZ63" s="34"/>
      <c r="HA63" s="34"/>
      <c r="HB63" s="34"/>
      <c r="HC63" s="31"/>
      <c r="HD63" s="32"/>
      <c r="HE63" s="33"/>
      <c r="HF63" s="33"/>
      <c r="HG63" s="34"/>
      <c r="HH63" s="34"/>
      <c r="HI63" s="34"/>
      <c r="HJ63" s="34"/>
      <c r="HK63" s="31"/>
      <c r="HL63" s="32"/>
      <c r="HM63" s="33"/>
      <c r="HN63" s="33"/>
      <c r="HO63" s="34"/>
      <c r="HP63" s="34"/>
      <c r="HQ63" s="34"/>
      <c r="HR63" s="34"/>
      <c r="HS63" s="31"/>
      <c r="HT63" s="32"/>
      <c r="HU63" s="33"/>
      <c r="HV63" s="33"/>
      <c r="HW63" s="34"/>
      <c r="HX63" s="34"/>
      <c r="HY63" s="34"/>
      <c r="HZ63" s="34"/>
      <c r="IA63" s="31"/>
      <c r="IB63" s="32"/>
      <c r="IC63" s="33"/>
      <c r="ID63" s="33"/>
      <c r="IE63" s="34"/>
      <c r="IF63" s="34"/>
      <c r="IG63" s="34"/>
      <c r="IH63" s="34"/>
      <c r="II63" s="31"/>
      <c r="IJ63" s="32"/>
      <c r="IK63" s="33"/>
      <c r="IL63" s="33"/>
      <c r="IM63" s="34"/>
      <c r="IN63" s="34"/>
      <c r="IO63" s="34"/>
      <c r="IP63" s="34"/>
      <c r="IQ63" s="31"/>
      <c r="IR63" s="32"/>
      <c r="IS63" s="33"/>
      <c r="IT63" s="33"/>
      <c r="IU63" s="34"/>
    </row>
    <row r="64" spans="1:255" s="35" customFormat="1" ht="22.5" customHeight="1">
      <c r="A64" s="22"/>
      <c r="B64" s="1" t="s">
        <v>366</v>
      </c>
      <c r="C64" s="8"/>
      <c r="D64" s="10"/>
      <c r="E64" s="77">
        <v>170703</v>
      </c>
      <c r="F64" s="77">
        <v>1171</v>
      </c>
      <c r="G64" s="87">
        <v>710.35</v>
      </c>
      <c r="H64" s="87">
        <f>710345/1000</f>
        <v>710.345</v>
      </c>
      <c r="I64" s="48"/>
      <c r="J64" s="24" t="s">
        <v>51</v>
      </c>
      <c r="K64" s="31"/>
      <c r="L64" s="32"/>
      <c r="M64" s="33"/>
      <c r="N64" s="33"/>
      <c r="O64" s="34"/>
      <c r="P64" s="34"/>
      <c r="Q64" s="34"/>
      <c r="R64" s="34"/>
      <c r="S64" s="31"/>
      <c r="T64" s="32"/>
      <c r="U64" s="33"/>
      <c r="V64" s="33"/>
      <c r="W64" s="34"/>
      <c r="X64" s="34"/>
      <c r="Y64" s="34"/>
      <c r="Z64" s="34"/>
      <c r="AA64" s="31"/>
      <c r="AB64" s="32"/>
      <c r="AC64" s="33"/>
      <c r="AD64" s="33"/>
      <c r="AE64" s="34"/>
      <c r="AF64" s="34"/>
      <c r="AG64" s="34"/>
      <c r="AH64" s="34"/>
      <c r="AI64" s="31"/>
      <c r="AJ64" s="32"/>
      <c r="AK64" s="33"/>
      <c r="AL64" s="33"/>
      <c r="AM64" s="34"/>
      <c r="AN64" s="34"/>
      <c r="AO64" s="34"/>
      <c r="AP64" s="34"/>
      <c r="AQ64" s="31"/>
      <c r="AR64" s="32"/>
      <c r="AS64" s="33"/>
      <c r="AT64" s="33"/>
      <c r="AU64" s="34"/>
      <c r="AV64" s="34"/>
      <c r="AW64" s="34"/>
      <c r="AX64" s="34"/>
      <c r="AY64" s="31"/>
      <c r="AZ64" s="32"/>
      <c r="BA64" s="33"/>
      <c r="BB64" s="33"/>
      <c r="BC64" s="34"/>
      <c r="BD64" s="34"/>
      <c r="BE64" s="34"/>
      <c r="BF64" s="34"/>
      <c r="BG64" s="31"/>
      <c r="BH64" s="32"/>
      <c r="BI64" s="33"/>
      <c r="BJ64" s="33"/>
      <c r="BK64" s="34"/>
      <c r="BL64" s="34"/>
      <c r="BM64" s="34"/>
      <c r="BN64" s="34"/>
      <c r="BO64" s="31"/>
      <c r="BP64" s="32"/>
      <c r="BQ64" s="33"/>
      <c r="BR64" s="33"/>
      <c r="BS64" s="34"/>
      <c r="BT64" s="34"/>
      <c r="BU64" s="34"/>
      <c r="BV64" s="34"/>
      <c r="BW64" s="31"/>
      <c r="BX64" s="32"/>
      <c r="BY64" s="33"/>
      <c r="BZ64" s="33"/>
      <c r="CA64" s="34"/>
      <c r="CB64" s="34"/>
      <c r="CC64" s="34"/>
      <c r="CD64" s="34"/>
      <c r="CE64" s="31"/>
      <c r="CF64" s="32"/>
      <c r="CG64" s="33"/>
      <c r="CH64" s="33"/>
      <c r="CI64" s="34"/>
      <c r="CJ64" s="34"/>
      <c r="CK64" s="34"/>
      <c r="CL64" s="34"/>
      <c r="CM64" s="31"/>
      <c r="CN64" s="32"/>
      <c r="CO64" s="33"/>
      <c r="CP64" s="33"/>
      <c r="CQ64" s="34"/>
      <c r="CR64" s="34"/>
      <c r="CS64" s="34"/>
      <c r="CT64" s="34"/>
      <c r="CU64" s="31"/>
      <c r="CV64" s="32"/>
      <c r="CW64" s="33"/>
      <c r="CX64" s="33"/>
      <c r="CY64" s="34"/>
      <c r="CZ64" s="34"/>
      <c r="DA64" s="34"/>
      <c r="DB64" s="34"/>
      <c r="DC64" s="31"/>
      <c r="DD64" s="32"/>
      <c r="DE64" s="33"/>
      <c r="DF64" s="33"/>
      <c r="DG64" s="34"/>
      <c r="DH64" s="34"/>
      <c r="DI64" s="34"/>
      <c r="DJ64" s="34"/>
      <c r="DK64" s="31"/>
      <c r="DL64" s="32"/>
      <c r="DM64" s="33"/>
      <c r="DN64" s="33"/>
      <c r="DO64" s="34"/>
      <c r="DP64" s="34"/>
      <c r="DQ64" s="34"/>
      <c r="DR64" s="34"/>
      <c r="DS64" s="31"/>
      <c r="DT64" s="32"/>
      <c r="DU64" s="33"/>
      <c r="DV64" s="33"/>
      <c r="DW64" s="34"/>
      <c r="DX64" s="34"/>
      <c r="DY64" s="34"/>
      <c r="DZ64" s="34"/>
      <c r="EA64" s="31"/>
      <c r="EB64" s="32"/>
      <c r="EC64" s="33"/>
      <c r="ED64" s="33"/>
      <c r="EE64" s="34"/>
      <c r="EF64" s="34"/>
      <c r="EG64" s="34"/>
      <c r="EH64" s="34"/>
      <c r="EI64" s="31"/>
      <c r="EJ64" s="32"/>
      <c r="EK64" s="33"/>
      <c r="EL64" s="33"/>
      <c r="EM64" s="34"/>
      <c r="EN64" s="34"/>
      <c r="EO64" s="34"/>
      <c r="EP64" s="34"/>
      <c r="EQ64" s="31"/>
      <c r="ER64" s="32"/>
      <c r="ES64" s="33"/>
      <c r="ET64" s="33"/>
      <c r="EU64" s="34"/>
      <c r="EV64" s="34"/>
      <c r="EW64" s="34"/>
      <c r="EX64" s="34"/>
      <c r="EY64" s="31"/>
      <c r="EZ64" s="32"/>
      <c r="FA64" s="33"/>
      <c r="FB64" s="33"/>
      <c r="FC64" s="34"/>
      <c r="FD64" s="34"/>
      <c r="FE64" s="34"/>
      <c r="FF64" s="34"/>
      <c r="FG64" s="31"/>
      <c r="FH64" s="32"/>
      <c r="FI64" s="33"/>
      <c r="FJ64" s="33"/>
      <c r="FK64" s="34"/>
      <c r="FL64" s="34"/>
      <c r="FM64" s="34"/>
      <c r="FN64" s="34"/>
      <c r="FO64" s="31"/>
      <c r="FP64" s="32"/>
      <c r="FQ64" s="33"/>
      <c r="FR64" s="33"/>
      <c r="FS64" s="34"/>
      <c r="FT64" s="34"/>
      <c r="FU64" s="34"/>
      <c r="FV64" s="34"/>
      <c r="FW64" s="31"/>
      <c r="FX64" s="32"/>
      <c r="FY64" s="33"/>
      <c r="FZ64" s="33"/>
      <c r="GA64" s="34"/>
      <c r="GB64" s="34"/>
      <c r="GC64" s="34"/>
      <c r="GD64" s="34"/>
      <c r="GE64" s="31"/>
      <c r="GF64" s="32"/>
      <c r="GG64" s="33"/>
      <c r="GH64" s="33"/>
      <c r="GI64" s="34"/>
      <c r="GJ64" s="34"/>
      <c r="GK64" s="34"/>
      <c r="GL64" s="34"/>
      <c r="GM64" s="31"/>
      <c r="GN64" s="32"/>
      <c r="GO64" s="33"/>
      <c r="GP64" s="33"/>
      <c r="GQ64" s="34"/>
      <c r="GR64" s="34"/>
      <c r="GS64" s="34"/>
      <c r="GT64" s="34"/>
      <c r="GU64" s="31"/>
      <c r="GV64" s="32"/>
      <c r="GW64" s="33"/>
      <c r="GX64" s="33"/>
      <c r="GY64" s="34"/>
      <c r="GZ64" s="34"/>
      <c r="HA64" s="34"/>
      <c r="HB64" s="34"/>
      <c r="HC64" s="31"/>
      <c r="HD64" s="32"/>
      <c r="HE64" s="33"/>
      <c r="HF64" s="33"/>
      <c r="HG64" s="34"/>
      <c r="HH64" s="34"/>
      <c r="HI64" s="34"/>
      <c r="HJ64" s="34"/>
      <c r="HK64" s="31"/>
      <c r="HL64" s="32"/>
      <c r="HM64" s="33"/>
      <c r="HN64" s="33"/>
      <c r="HO64" s="34"/>
      <c r="HP64" s="34"/>
      <c r="HQ64" s="34"/>
      <c r="HR64" s="34"/>
      <c r="HS64" s="31"/>
      <c r="HT64" s="32"/>
      <c r="HU64" s="33"/>
      <c r="HV64" s="33"/>
      <c r="HW64" s="34"/>
      <c r="HX64" s="34"/>
      <c r="HY64" s="34"/>
      <c r="HZ64" s="34"/>
      <c r="IA64" s="31"/>
      <c r="IB64" s="32"/>
      <c r="IC64" s="33"/>
      <c r="ID64" s="33"/>
      <c r="IE64" s="34"/>
      <c r="IF64" s="34"/>
      <c r="IG64" s="34"/>
      <c r="IH64" s="34"/>
      <c r="II64" s="31"/>
      <c r="IJ64" s="32"/>
      <c r="IK64" s="33"/>
      <c r="IL64" s="33"/>
      <c r="IM64" s="34"/>
      <c r="IN64" s="34"/>
      <c r="IO64" s="34"/>
      <c r="IP64" s="34"/>
      <c r="IQ64" s="31"/>
      <c r="IR64" s="32"/>
      <c r="IS64" s="33"/>
      <c r="IT64" s="33"/>
      <c r="IU64" s="34"/>
    </row>
    <row r="65" spans="1:255" s="35" customFormat="1" ht="25.5" customHeight="1">
      <c r="A65" s="22"/>
      <c r="B65" s="77" t="s">
        <v>377</v>
      </c>
      <c r="C65" s="8"/>
      <c r="D65" s="10"/>
      <c r="E65" s="77"/>
      <c r="F65" s="77"/>
      <c r="G65" s="87">
        <f>G66+G67+G68+G69+G70+G71+G72+G73</f>
        <v>1443.8985</v>
      </c>
      <c r="H65" s="87">
        <f>H66+H67+H68+H69+H70+H71+H72+H73</f>
        <v>1443.4985</v>
      </c>
      <c r="I65" s="48"/>
      <c r="J65" s="24"/>
      <c r="K65" s="31"/>
      <c r="L65" s="32"/>
      <c r="M65" s="33"/>
      <c r="N65" s="33"/>
      <c r="O65" s="34"/>
      <c r="P65" s="34"/>
      <c r="Q65" s="34"/>
      <c r="R65" s="34"/>
      <c r="S65" s="31"/>
      <c r="T65" s="32"/>
      <c r="U65" s="33"/>
      <c r="V65" s="33"/>
      <c r="W65" s="34"/>
      <c r="X65" s="34"/>
      <c r="Y65" s="34"/>
      <c r="Z65" s="34"/>
      <c r="AA65" s="31"/>
      <c r="AB65" s="32"/>
      <c r="AC65" s="33"/>
      <c r="AD65" s="33"/>
      <c r="AE65" s="34"/>
      <c r="AF65" s="34"/>
      <c r="AG65" s="34"/>
      <c r="AH65" s="34"/>
      <c r="AI65" s="31"/>
      <c r="AJ65" s="32"/>
      <c r="AK65" s="33"/>
      <c r="AL65" s="33"/>
      <c r="AM65" s="34"/>
      <c r="AN65" s="34"/>
      <c r="AO65" s="34"/>
      <c r="AP65" s="34"/>
      <c r="AQ65" s="31"/>
      <c r="AR65" s="32"/>
      <c r="AS65" s="33"/>
      <c r="AT65" s="33"/>
      <c r="AU65" s="34"/>
      <c r="AV65" s="34"/>
      <c r="AW65" s="34"/>
      <c r="AX65" s="34"/>
      <c r="AY65" s="31"/>
      <c r="AZ65" s="32"/>
      <c r="BA65" s="33"/>
      <c r="BB65" s="33"/>
      <c r="BC65" s="34"/>
      <c r="BD65" s="34"/>
      <c r="BE65" s="34"/>
      <c r="BF65" s="34"/>
      <c r="BG65" s="31"/>
      <c r="BH65" s="32"/>
      <c r="BI65" s="33"/>
      <c r="BJ65" s="33"/>
      <c r="BK65" s="34"/>
      <c r="BL65" s="34"/>
      <c r="BM65" s="34"/>
      <c r="BN65" s="34"/>
      <c r="BO65" s="31"/>
      <c r="BP65" s="32"/>
      <c r="BQ65" s="33"/>
      <c r="BR65" s="33"/>
      <c r="BS65" s="34"/>
      <c r="BT65" s="34"/>
      <c r="BU65" s="34"/>
      <c r="BV65" s="34"/>
      <c r="BW65" s="31"/>
      <c r="BX65" s="32"/>
      <c r="BY65" s="33"/>
      <c r="BZ65" s="33"/>
      <c r="CA65" s="34"/>
      <c r="CB65" s="34"/>
      <c r="CC65" s="34"/>
      <c r="CD65" s="34"/>
      <c r="CE65" s="31"/>
      <c r="CF65" s="32"/>
      <c r="CG65" s="33"/>
      <c r="CH65" s="33"/>
      <c r="CI65" s="34"/>
      <c r="CJ65" s="34"/>
      <c r="CK65" s="34"/>
      <c r="CL65" s="34"/>
      <c r="CM65" s="31"/>
      <c r="CN65" s="32"/>
      <c r="CO65" s="33"/>
      <c r="CP65" s="33"/>
      <c r="CQ65" s="34"/>
      <c r="CR65" s="34"/>
      <c r="CS65" s="34"/>
      <c r="CT65" s="34"/>
      <c r="CU65" s="31"/>
      <c r="CV65" s="32"/>
      <c r="CW65" s="33"/>
      <c r="CX65" s="33"/>
      <c r="CY65" s="34"/>
      <c r="CZ65" s="34"/>
      <c r="DA65" s="34"/>
      <c r="DB65" s="34"/>
      <c r="DC65" s="31"/>
      <c r="DD65" s="32"/>
      <c r="DE65" s="33"/>
      <c r="DF65" s="33"/>
      <c r="DG65" s="34"/>
      <c r="DH65" s="34"/>
      <c r="DI65" s="34"/>
      <c r="DJ65" s="34"/>
      <c r="DK65" s="31"/>
      <c r="DL65" s="32"/>
      <c r="DM65" s="33"/>
      <c r="DN65" s="33"/>
      <c r="DO65" s="34"/>
      <c r="DP65" s="34"/>
      <c r="DQ65" s="34"/>
      <c r="DR65" s="34"/>
      <c r="DS65" s="31"/>
      <c r="DT65" s="32"/>
      <c r="DU65" s="33"/>
      <c r="DV65" s="33"/>
      <c r="DW65" s="34"/>
      <c r="DX65" s="34"/>
      <c r="DY65" s="34"/>
      <c r="DZ65" s="34"/>
      <c r="EA65" s="31"/>
      <c r="EB65" s="32"/>
      <c r="EC65" s="33"/>
      <c r="ED65" s="33"/>
      <c r="EE65" s="34"/>
      <c r="EF65" s="34"/>
      <c r="EG65" s="34"/>
      <c r="EH65" s="34"/>
      <c r="EI65" s="31"/>
      <c r="EJ65" s="32"/>
      <c r="EK65" s="33"/>
      <c r="EL65" s="33"/>
      <c r="EM65" s="34"/>
      <c r="EN65" s="34"/>
      <c r="EO65" s="34"/>
      <c r="EP65" s="34"/>
      <c r="EQ65" s="31"/>
      <c r="ER65" s="32"/>
      <c r="ES65" s="33"/>
      <c r="ET65" s="33"/>
      <c r="EU65" s="34"/>
      <c r="EV65" s="34"/>
      <c r="EW65" s="34"/>
      <c r="EX65" s="34"/>
      <c r="EY65" s="31"/>
      <c r="EZ65" s="32"/>
      <c r="FA65" s="33"/>
      <c r="FB65" s="33"/>
      <c r="FC65" s="34"/>
      <c r="FD65" s="34"/>
      <c r="FE65" s="34"/>
      <c r="FF65" s="34"/>
      <c r="FG65" s="31"/>
      <c r="FH65" s="32"/>
      <c r="FI65" s="33"/>
      <c r="FJ65" s="33"/>
      <c r="FK65" s="34"/>
      <c r="FL65" s="34"/>
      <c r="FM65" s="34"/>
      <c r="FN65" s="34"/>
      <c r="FO65" s="31"/>
      <c r="FP65" s="32"/>
      <c r="FQ65" s="33"/>
      <c r="FR65" s="33"/>
      <c r="FS65" s="34"/>
      <c r="FT65" s="34"/>
      <c r="FU65" s="34"/>
      <c r="FV65" s="34"/>
      <c r="FW65" s="31"/>
      <c r="FX65" s="32"/>
      <c r="FY65" s="33"/>
      <c r="FZ65" s="33"/>
      <c r="GA65" s="34"/>
      <c r="GB65" s="34"/>
      <c r="GC65" s="34"/>
      <c r="GD65" s="34"/>
      <c r="GE65" s="31"/>
      <c r="GF65" s="32"/>
      <c r="GG65" s="33"/>
      <c r="GH65" s="33"/>
      <c r="GI65" s="34"/>
      <c r="GJ65" s="34"/>
      <c r="GK65" s="34"/>
      <c r="GL65" s="34"/>
      <c r="GM65" s="31"/>
      <c r="GN65" s="32"/>
      <c r="GO65" s="33"/>
      <c r="GP65" s="33"/>
      <c r="GQ65" s="34"/>
      <c r="GR65" s="34"/>
      <c r="GS65" s="34"/>
      <c r="GT65" s="34"/>
      <c r="GU65" s="31"/>
      <c r="GV65" s="32"/>
      <c r="GW65" s="33"/>
      <c r="GX65" s="33"/>
      <c r="GY65" s="34"/>
      <c r="GZ65" s="34"/>
      <c r="HA65" s="34"/>
      <c r="HB65" s="34"/>
      <c r="HC65" s="31"/>
      <c r="HD65" s="32"/>
      <c r="HE65" s="33"/>
      <c r="HF65" s="33"/>
      <c r="HG65" s="34"/>
      <c r="HH65" s="34"/>
      <c r="HI65" s="34"/>
      <c r="HJ65" s="34"/>
      <c r="HK65" s="31"/>
      <c r="HL65" s="32"/>
      <c r="HM65" s="33"/>
      <c r="HN65" s="33"/>
      <c r="HO65" s="34"/>
      <c r="HP65" s="34"/>
      <c r="HQ65" s="34"/>
      <c r="HR65" s="34"/>
      <c r="HS65" s="31"/>
      <c r="HT65" s="32"/>
      <c r="HU65" s="33"/>
      <c r="HV65" s="33"/>
      <c r="HW65" s="34"/>
      <c r="HX65" s="34"/>
      <c r="HY65" s="34"/>
      <c r="HZ65" s="34"/>
      <c r="IA65" s="31"/>
      <c r="IB65" s="32"/>
      <c r="IC65" s="33"/>
      <c r="ID65" s="33"/>
      <c r="IE65" s="34"/>
      <c r="IF65" s="34"/>
      <c r="IG65" s="34"/>
      <c r="IH65" s="34"/>
      <c r="II65" s="31"/>
      <c r="IJ65" s="32"/>
      <c r="IK65" s="33"/>
      <c r="IL65" s="33"/>
      <c r="IM65" s="34"/>
      <c r="IN65" s="34"/>
      <c r="IO65" s="34"/>
      <c r="IP65" s="34"/>
      <c r="IQ65" s="31"/>
      <c r="IR65" s="32"/>
      <c r="IS65" s="33"/>
      <c r="IT65" s="33"/>
      <c r="IU65" s="34"/>
    </row>
    <row r="66" spans="1:255" s="35" customFormat="1" ht="36.75" customHeight="1">
      <c r="A66" s="22"/>
      <c r="B66" s="61" t="s">
        <v>373</v>
      </c>
      <c r="C66" s="26" t="s">
        <v>73</v>
      </c>
      <c r="D66" s="48">
        <v>19.6</v>
      </c>
      <c r="E66" s="24">
        <v>170703</v>
      </c>
      <c r="F66" s="24">
        <v>1171</v>
      </c>
      <c r="G66" s="48">
        <f>3592/1000</f>
        <v>3.592</v>
      </c>
      <c r="H66" s="48">
        <f>3592/1000</f>
        <v>3.592</v>
      </c>
      <c r="I66" s="165" t="s">
        <v>374</v>
      </c>
      <c r="J66" s="76" t="s">
        <v>289</v>
      </c>
      <c r="K66" s="31"/>
      <c r="L66" s="32"/>
      <c r="M66" s="33"/>
      <c r="N66" s="33"/>
      <c r="O66" s="34"/>
      <c r="P66" s="34"/>
      <c r="Q66" s="34"/>
      <c r="R66" s="34"/>
      <c r="S66" s="31"/>
      <c r="T66" s="32"/>
      <c r="U66" s="33"/>
      <c r="V66" s="33"/>
      <c r="W66" s="34"/>
      <c r="X66" s="34"/>
      <c r="Y66" s="34"/>
      <c r="Z66" s="34"/>
      <c r="AA66" s="31"/>
      <c r="AB66" s="32"/>
      <c r="AC66" s="33"/>
      <c r="AD66" s="33"/>
      <c r="AE66" s="34"/>
      <c r="AF66" s="34"/>
      <c r="AG66" s="34"/>
      <c r="AH66" s="34"/>
      <c r="AI66" s="31"/>
      <c r="AJ66" s="32"/>
      <c r="AK66" s="33"/>
      <c r="AL66" s="33"/>
      <c r="AM66" s="34"/>
      <c r="AN66" s="34"/>
      <c r="AO66" s="34"/>
      <c r="AP66" s="34"/>
      <c r="AQ66" s="31"/>
      <c r="AR66" s="32"/>
      <c r="AS66" s="33"/>
      <c r="AT66" s="33"/>
      <c r="AU66" s="34"/>
      <c r="AV66" s="34"/>
      <c r="AW66" s="34"/>
      <c r="AX66" s="34"/>
      <c r="AY66" s="31"/>
      <c r="AZ66" s="32"/>
      <c r="BA66" s="33"/>
      <c r="BB66" s="33"/>
      <c r="BC66" s="34"/>
      <c r="BD66" s="34"/>
      <c r="BE66" s="34"/>
      <c r="BF66" s="34"/>
      <c r="BG66" s="31"/>
      <c r="BH66" s="32"/>
      <c r="BI66" s="33"/>
      <c r="BJ66" s="33"/>
      <c r="BK66" s="34"/>
      <c r="BL66" s="34"/>
      <c r="BM66" s="34"/>
      <c r="BN66" s="34"/>
      <c r="BO66" s="31"/>
      <c r="BP66" s="32"/>
      <c r="BQ66" s="33"/>
      <c r="BR66" s="33"/>
      <c r="BS66" s="34"/>
      <c r="BT66" s="34"/>
      <c r="BU66" s="34"/>
      <c r="BV66" s="34"/>
      <c r="BW66" s="31"/>
      <c r="BX66" s="32"/>
      <c r="BY66" s="33"/>
      <c r="BZ66" s="33"/>
      <c r="CA66" s="34"/>
      <c r="CB66" s="34"/>
      <c r="CC66" s="34"/>
      <c r="CD66" s="34"/>
      <c r="CE66" s="31"/>
      <c r="CF66" s="32"/>
      <c r="CG66" s="33"/>
      <c r="CH66" s="33"/>
      <c r="CI66" s="34"/>
      <c r="CJ66" s="34"/>
      <c r="CK66" s="34"/>
      <c r="CL66" s="34"/>
      <c r="CM66" s="31"/>
      <c r="CN66" s="32"/>
      <c r="CO66" s="33"/>
      <c r="CP66" s="33"/>
      <c r="CQ66" s="34"/>
      <c r="CR66" s="34"/>
      <c r="CS66" s="34"/>
      <c r="CT66" s="34"/>
      <c r="CU66" s="31"/>
      <c r="CV66" s="32"/>
      <c r="CW66" s="33"/>
      <c r="CX66" s="33"/>
      <c r="CY66" s="34"/>
      <c r="CZ66" s="34"/>
      <c r="DA66" s="34"/>
      <c r="DB66" s="34"/>
      <c r="DC66" s="31"/>
      <c r="DD66" s="32"/>
      <c r="DE66" s="33"/>
      <c r="DF66" s="33"/>
      <c r="DG66" s="34"/>
      <c r="DH66" s="34"/>
      <c r="DI66" s="34"/>
      <c r="DJ66" s="34"/>
      <c r="DK66" s="31"/>
      <c r="DL66" s="32"/>
      <c r="DM66" s="33"/>
      <c r="DN66" s="33"/>
      <c r="DO66" s="34"/>
      <c r="DP66" s="34"/>
      <c r="DQ66" s="34"/>
      <c r="DR66" s="34"/>
      <c r="DS66" s="31"/>
      <c r="DT66" s="32"/>
      <c r="DU66" s="33"/>
      <c r="DV66" s="33"/>
      <c r="DW66" s="34"/>
      <c r="DX66" s="34"/>
      <c r="DY66" s="34"/>
      <c r="DZ66" s="34"/>
      <c r="EA66" s="31"/>
      <c r="EB66" s="32"/>
      <c r="EC66" s="33"/>
      <c r="ED66" s="33"/>
      <c r="EE66" s="34"/>
      <c r="EF66" s="34"/>
      <c r="EG66" s="34"/>
      <c r="EH66" s="34"/>
      <c r="EI66" s="31"/>
      <c r="EJ66" s="32"/>
      <c r="EK66" s="33"/>
      <c r="EL66" s="33"/>
      <c r="EM66" s="34"/>
      <c r="EN66" s="34"/>
      <c r="EO66" s="34"/>
      <c r="EP66" s="34"/>
      <c r="EQ66" s="31"/>
      <c r="ER66" s="32"/>
      <c r="ES66" s="33"/>
      <c r="ET66" s="33"/>
      <c r="EU66" s="34"/>
      <c r="EV66" s="34"/>
      <c r="EW66" s="34"/>
      <c r="EX66" s="34"/>
      <c r="EY66" s="31"/>
      <c r="EZ66" s="32"/>
      <c r="FA66" s="33"/>
      <c r="FB66" s="33"/>
      <c r="FC66" s="34"/>
      <c r="FD66" s="34"/>
      <c r="FE66" s="34"/>
      <c r="FF66" s="34"/>
      <c r="FG66" s="31"/>
      <c r="FH66" s="32"/>
      <c r="FI66" s="33"/>
      <c r="FJ66" s="33"/>
      <c r="FK66" s="34"/>
      <c r="FL66" s="34"/>
      <c r="FM66" s="34"/>
      <c r="FN66" s="34"/>
      <c r="FO66" s="31"/>
      <c r="FP66" s="32"/>
      <c r="FQ66" s="33"/>
      <c r="FR66" s="33"/>
      <c r="FS66" s="34"/>
      <c r="FT66" s="34"/>
      <c r="FU66" s="34"/>
      <c r="FV66" s="34"/>
      <c r="FW66" s="31"/>
      <c r="FX66" s="32"/>
      <c r="FY66" s="33"/>
      <c r="FZ66" s="33"/>
      <c r="GA66" s="34"/>
      <c r="GB66" s="34"/>
      <c r="GC66" s="34"/>
      <c r="GD66" s="34"/>
      <c r="GE66" s="31"/>
      <c r="GF66" s="32"/>
      <c r="GG66" s="33"/>
      <c r="GH66" s="33"/>
      <c r="GI66" s="34"/>
      <c r="GJ66" s="34"/>
      <c r="GK66" s="34"/>
      <c r="GL66" s="34"/>
      <c r="GM66" s="31"/>
      <c r="GN66" s="32"/>
      <c r="GO66" s="33"/>
      <c r="GP66" s="33"/>
      <c r="GQ66" s="34"/>
      <c r="GR66" s="34"/>
      <c r="GS66" s="34"/>
      <c r="GT66" s="34"/>
      <c r="GU66" s="31"/>
      <c r="GV66" s="32"/>
      <c r="GW66" s="33"/>
      <c r="GX66" s="33"/>
      <c r="GY66" s="34"/>
      <c r="GZ66" s="34"/>
      <c r="HA66" s="34"/>
      <c r="HB66" s="34"/>
      <c r="HC66" s="31"/>
      <c r="HD66" s="32"/>
      <c r="HE66" s="33"/>
      <c r="HF66" s="33"/>
      <c r="HG66" s="34"/>
      <c r="HH66" s="34"/>
      <c r="HI66" s="34"/>
      <c r="HJ66" s="34"/>
      <c r="HK66" s="31"/>
      <c r="HL66" s="32"/>
      <c r="HM66" s="33"/>
      <c r="HN66" s="33"/>
      <c r="HO66" s="34"/>
      <c r="HP66" s="34"/>
      <c r="HQ66" s="34"/>
      <c r="HR66" s="34"/>
      <c r="HS66" s="31"/>
      <c r="HT66" s="32"/>
      <c r="HU66" s="33"/>
      <c r="HV66" s="33"/>
      <c r="HW66" s="34"/>
      <c r="HX66" s="34"/>
      <c r="HY66" s="34"/>
      <c r="HZ66" s="34"/>
      <c r="IA66" s="31"/>
      <c r="IB66" s="32"/>
      <c r="IC66" s="33"/>
      <c r="ID66" s="33"/>
      <c r="IE66" s="34"/>
      <c r="IF66" s="34"/>
      <c r="IG66" s="34"/>
      <c r="IH66" s="34"/>
      <c r="II66" s="31"/>
      <c r="IJ66" s="32"/>
      <c r="IK66" s="33"/>
      <c r="IL66" s="33"/>
      <c r="IM66" s="34"/>
      <c r="IN66" s="34"/>
      <c r="IO66" s="34"/>
      <c r="IP66" s="34"/>
      <c r="IQ66" s="31"/>
      <c r="IR66" s="32"/>
      <c r="IS66" s="33"/>
      <c r="IT66" s="33"/>
      <c r="IU66" s="34"/>
    </row>
    <row r="67" spans="1:255" s="35" customFormat="1" ht="36" customHeight="1">
      <c r="A67" s="22"/>
      <c r="B67" s="61" t="s">
        <v>370</v>
      </c>
      <c r="C67" s="26" t="s">
        <v>80</v>
      </c>
      <c r="D67" s="48">
        <v>30</v>
      </c>
      <c r="E67" s="24">
        <v>170703</v>
      </c>
      <c r="F67" s="24">
        <v>1171</v>
      </c>
      <c r="G67" s="48">
        <f>14863.1/1000</f>
        <v>14.863100000000001</v>
      </c>
      <c r="H67" s="48">
        <f>14863.1/1000</f>
        <v>14.863100000000001</v>
      </c>
      <c r="I67" s="165" t="s">
        <v>374</v>
      </c>
      <c r="J67" s="76" t="s">
        <v>289</v>
      </c>
      <c r="K67" s="31"/>
      <c r="L67" s="32"/>
      <c r="M67" s="33"/>
      <c r="N67" s="33"/>
      <c r="O67" s="34"/>
      <c r="P67" s="34"/>
      <c r="Q67" s="34"/>
      <c r="R67" s="34"/>
      <c r="S67" s="31"/>
      <c r="T67" s="32"/>
      <c r="U67" s="33"/>
      <c r="V67" s="33"/>
      <c r="W67" s="34"/>
      <c r="X67" s="34"/>
      <c r="Y67" s="34"/>
      <c r="Z67" s="34"/>
      <c r="AA67" s="31"/>
      <c r="AB67" s="32"/>
      <c r="AC67" s="33"/>
      <c r="AD67" s="33"/>
      <c r="AE67" s="34"/>
      <c r="AF67" s="34"/>
      <c r="AG67" s="34"/>
      <c r="AH67" s="34"/>
      <c r="AI67" s="31"/>
      <c r="AJ67" s="32"/>
      <c r="AK67" s="33"/>
      <c r="AL67" s="33"/>
      <c r="AM67" s="34"/>
      <c r="AN67" s="34"/>
      <c r="AO67" s="34"/>
      <c r="AP67" s="34"/>
      <c r="AQ67" s="31"/>
      <c r="AR67" s="32"/>
      <c r="AS67" s="33"/>
      <c r="AT67" s="33"/>
      <c r="AU67" s="34"/>
      <c r="AV67" s="34"/>
      <c r="AW67" s="34"/>
      <c r="AX67" s="34"/>
      <c r="AY67" s="31"/>
      <c r="AZ67" s="32"/>
      <c r="BA67" s="33"/>
      <c r="BB67" s="33"/>
      <c r="BC67" s="34"/>
      <c r="BD67" s="34"/>
      <c r="BE67" s="34"/>
      <c r="BF67" s="34"/>
      <c r="BG67" s="31"/>
      <c r="BH67" s="32"/>
      <c r="BI67" s="33"/>
      <c r="BJ67" s="33"/>
      <c r="BK67" s="34"/>
      <c r="BL67" s="34"/>
      <c r="BM67" s="34"/>
      <c r="BN67" s="34"/>
      <c r="BO67" s="31"/>
      <c r="BP67" s="32"/>
      <c r="BQ67" s="33"/>
      <c r="BR67" s="33"/>
      <c r="BS67" s="34"/>
      <c r="BT67" s="34"/>
      <c r="BU67" s="34"/>
      <c r="BV67" s="34"/>
      <c r="BW67" s="31"/>
      <c r="BX67" s="32"/>
      <c r="BY67" s="33"/>
      <c r="BZ67" s="33"/>
      <c r="CA67" s="34"/>
      <c r="CB67" s="34"/>
      <c r="CC67" s="34"/>
      <c r="CD67" s="34"/>
      <c r="CE67" s="31"/>
      <c r="CF67" s="32"/>
      <c r="CG67" s="33"/>
      <c r="CH67" s="33"/>
      <c r="CI67" s="34"/>
      <c r="CJ67" s="34"/>
      <c r="CK67" s="34"/>
      <c r="CL67" s="34"/>
      <c r="CM67" s="31"/>
      <c r="CN67" s="32"/>
      <c r="CO67" s="33"/>
      <c r="CP67" s="33"/>
      <c r="CQ67" s="34"/>
      <c r="CR67" s="34"/>
      <c r="CS67" s="34"/>
      <c r="CT67" s="34"/>
      <c r="CU67" s="31"/>
      <c r="CV67" s="32"/>
      <c r="CW67" s="33"/>
      <c r="CX67" s="33"/>
      <c r="CY67" s="34"/>
      <c r="CZ67" s="34"/>
      <c r="DA67" s="34"/>
      <c r="DB67" s="34"/>
      <c r="DC67" s="31"/>
      <c r="DD67" s="32"/>
      <c r="DE67" s="33"/>
      <c r="DF67" s="33"/>
      <c r="DG67" s="34"/>
      <c r="DH67" s="34"/>
      <c r="DI67" s="34"/>
      <c r="DJ67" s="34"/>
      <c r="DK67" s="31"/>
      <c r="DL67" s="32"/>
      <c r="DM67" s="33"/>
      <c r="DN67" s="33"/>
      <c r="DO67" s="34"/>
      <c r="DP67" s="34"/>
      <c r="DQ67" s="34"/>
      <c r="DR67" s="34"/>
      <c r="DS67" s="31"/>
      <c r="DT67" s="32"/>
      <c r="DU67" s="33"/>
      <c r="DV67" s="33"/>
      <c r="DW67" s="34"/>
      <c r="DX67" s="34"/>
      <c r="DY67" s="34"/>
      <c r="DZ67" s="34"/>
      <c r="EA67" s="31"/>
      <c r="EB67" s="32"/>
      <c r="EC67" s="33"/>
      <c r="ED67" s="33"/>
      <c r="EE67" s="34"/>
      <c r="EF67" s="34"/>
      <c r="EG67" s="34"/>
      <c r="EH67" s="34"/>
      <c r="EI67" s="31"/>
      <c r="EJ67" s="32"/>
      <c r="EK67" s="33"/>
      <c r="EL67" s="33"/>
      <c r="EM67" s="34"/>
      <c r="EN67" s="34"/>
      <c r="EO67" s="34"/>
      <c r="EP67" s="34"/>
      <c r="EQ67" s="31"/>
      <c r="ER67" s="32"/>
      <c r="ES67" s="33"/>
      <c r="ET67" s="33"/>
      <c r="EU67" s="34"/>
      <c r="EV67" s="34"/>
      <c r="EW67" s="34"/>
      <c r="EX67" s="34"/>
      <c r="EY67" s="31"/>
      <c r="EZ67" s="32"/>
      <c r="FA67" s="33"/>
      <c r="FB67" s="33"/>
      <c r="FC67" s="34"/>
      <c r="FD67" s="34"/>
      <c r="FE67" s="34"/>
      <c r="FF67" s="34"/>
      <c r="FG67" s="31"/>
      <c r="FH67" s="32"/>
      <c r="FI67" s="33"/>
      <c r="FJ67" s="33"/>
      <c r="FK67" s="34"/>
      <c r="FL67" s="34"/>
      <c r="FM67" s="34"/>
      <c r="FN67" s="34"/>
      <c r="FO67" s="31"/>
      <c r="FP67" s="32"/>
      <c r="FQ67" s="33"/>
      <c r="FR67" s="33"/>
      <c r="FS67" s="34"/>
      <c r="FT67" s="34"/>
      <c r="FU67" s="34"/>
      <c r="FV67" s="34"/>
      <c r="FW67" s="31"/>
      <c r="FX67" s="32"/>
      <c r="FY67" s="33"/>
      <c r="FZ67" s="33"/>
      <c r="GA67" s="34"/>
      <c r="GB67" s="34"/>
      <c r="GC67" s="34"/>
      <c r="GD67" s="34"/>
      <c r="GE67" s="31"/>
      <c r="GF67" s="32"/>
      <c r="GG67" s="33"/>
      <c r="GH67" s="33"/>
      <c r="GI67" s="34"/>
      <c r="GJ67" s="34"/>
      <c r="GK67" s="34"/>
      <c r="GL67" s="34"/>
      <c r="GM67" s="31"/>
      <c r="GN67" s="32"/>
      <c r="GO67" s="33"/>
      <c r="GP67" s="33"/>
      <c r="GQ67" s="34"/>
      <c r="GR67" s="34"/>
      <c r="GS67" s="34"/>
      <c r="GT67" s="34"/>
      <c r="GU67" s="31"/>
      <c r="GV67" s="32"/>
      <c r="GW67" s="33"/>
      <c r="GX67" s="33"/>
      <c r="GY67" s="34"/>
      <c r="GZ67" s="34"/>
      <c r="HA67" s="34"/>
      <c r="HB67" s="34"/>
      <c r="HC67" s="31"/>
      <c r="HD67" s="32"/>
      <c r="HE67" s="33"/>
      <c r="HF67" s="33"/>
      <c r="HG67" s="34"/>
      <c r="HH67" s="34"/>
      <c r="HI67" s="34"/>
      <c r="HJ67" s="34"/>
      <c r="HK67" s="31"/>
      <c r="HL67" s="32"/>
      <c r="HM67" s="33"/>
      <c r="HN67" s="33"/>
      <c r="HO67" s="34"/>
      <c r="HP67" s="34"/>
      <c r="HQ67" s="34"/>
      <c r="HR67" s="34"/>
      <c r="HS67" s="31"/>
      <c r="HT67" s="32"/>
      <c r="HU67" s="33"/>
      <c r="HV67" s="33"/>
      <c r="HW67" s="34"/>
      <c r="HX67" s="34"/>
      <c r="HY67" s="34"/>
      <c r="HZ67" s="34"/>
      <c r="IA67" s="31"/>
      <c r="IB67" s="32"/>
      <c r="IC67" s="33"/>
      <c r="ID67" s="33"/>
      <c r="IE67" s="34"/>
      <c r="IF67" s="34"/>
      <c r="IG67" s="34"/>
      <c r="IH67" s="34"/>
      <c r="II67" s="31"/>
      <c r="IJ67" s="32"/>
      <c r="IK67" s="33"/>
      <c r="IL67" s="33"/>
      <c r="IM67" s="34"/>
      <c r="IN67" s="34"/>
      <c r="IO67" s="34"/>
      <c r="IP67" s="34"/>
      <c r="IQ67" s="31"/>
      <c r="IR67" s="32"/>
      <c r="IS67" s="33"/>
      <c r="IT67" s="33"/>
      <c r="IU67" s="34"/>
    </row>
    <row r="68" spans="1:255" s="35" customFormat="1" ht="35.25" customHeight="1">
      <c r="A68" s="22"/>
      <c r="B68" s="61" t="s">
        <v>367</v>
      </c>
      <c r="C68" s="26" t="s">
        <v>73</v>
      </c>
      <c r="D68" s="48">
        <f>824.4+43</f>
        <v>867.4</v>
      </c>
      <c r="E68" s="24">
        <v>170703</v>
      </c>
      <c r="F68" s="24">
        <v>1171</v>
      </c>
      <c r="G68" s="48">
        <f>(25191.6+576)/1000</f>
        <v>25.767599999999998</v>
      </c>
      <c r="H68" s="48">
        <f>(25191.6+576)/1000</f>
        <v>25.767599999999998</v>
      </c>
      <c r="I68" s="165" t="s">
        <v>374</v>
      </c>
      <c r="J68" s="76" t="s">
        <v>289</v>
      </c>
      <c r="K68" s="31"/>
      <c r="L68" s="32"/>
      <c r="M68" s="33"/>
      <c r="N68" s="33"/>
      <c r="O68" s="34"/>
      <c r="P68" s="34"/>
      <c r="Q68" s="34"/>
      <c r="R68" s="34"/>
      <c r="S68" s="31"/>
      <c r="T68" s="32"/>
      <c r="U68" s="33"/>
      <c r="V68" s="33"/>
      <c r="W68" s="34"/>
      <c r="X68" s="34"/>
      <c r="Y68" s="34"/>
      <c r="Z68" s="34"/>
      <c r="AA68" s="31"/>
      <c r="AB68" s="32"/>
      <c r="AC68" s="33"/>
      <c r="AD68" s="33"/>
      <c r="AE68" s="34"/>
      <c r="AF68" s="34"/>
      <c r="AG68" s="34"/>
      <c r="AH68" s="34"/>
      <c r="AI68" s="31"/>
      <c r="AJ68" s="32"/>
      <c r="AK68" s="33"/>
      <c r="AL68" s="33"/>
      <c r="AM68" s="34"/>
      <c r="AN68" s="34"/>
      <c r="AO68" s="34"/>
      <c r="AP68" s="34"/>
      <c r="AQ68" s="31"/>
      <c r="AR68" s="32"/>
      <c r="AS68" s="33"/>
      <c r="AT68" s="33"/>
      <c r="AU68" s="34"/>
      <c r="AV68" s="34"/>
      <c r="AW68" s="34"/>
      <c r="AX68" s="34"/>
      <c r="AY68" s="31"/>
      <c r="AZ68" s="32"/>
      <c r="BA68" s="33"/>
      <c r="BB68" s="33"/>
      <c r="BC68" s="34"/>
      <c r="BD68" s="34"/>
      <c r="BE68" s="34"/>
      <c r="BF68" s="34"/>
      <c r="BG68" s="31"/>
      <c r="BH68" s="32"/>
      <c r="BI68" s="33"/>
      <c r="BJ68" s="33"/>
      <c r="BK68" s="34"/>
      <c r="BL68" s="34"/>
      <c r="BM68" s="34"/>
      <c r="BN68" s="34"/>
      <c r="BO68" s="31"/>
      <c r="BP68" s="32"/>
      <c r="BQ68" s="33"/>
      <c r="BR68" s="33"/>
      <c r="BS68" s="34"/>
      <c r="BT68" s="34"/>
      <c r="BU68" s="34"/>
      <c r="BV68" s="34"/>
      <c r="BW68" s="31"/>
      <c r="BX68" s="32"/>
      <c r="BY68" s="33"/>
      <c r="BZ68" s="33"/>
      <c r="CA68" s="34"/>
      <c r="CB68" s="34"/>
      <c r="CC68" s="34"/>
      <c r="CD68" s="34"/>
      <c r="CE68" s="31"/>
      <c r="CF68" s="32"/>
      <c r="CG68" s="33"/>
      <c r="CH68" s="33"/>
      <c r="CI68" s="34"/>
      <c r="CJ68" s="34"/>
      <c r="CK68" s="34"/>
      <c r="CL68" s="34"/>
      <c r="CM68" s="31"/>
      <c r="CN68" s="32"/>
      <c r="CO68" s="33"/>
      <c r="CP68" s="33"/>
      <c r="CQ68" s="34"/>
      <c r="CR68" s="34"/>
      <c r="CS68" s="34"/>
      <c r="CT68" s="34"/>
      <c r="CU68" s="31"/>
      <c r="CV68" s="32"/>
      <c r="CW68" s="33"/>
      <c r="CX68" s="33"/>
      <c r="CY68" s="34"/>
      <c r="CZ68" s="34"/>
      <c r="DA68" s="34"/>
      <c r="DB68" s="34"/>
      <c r="DC68" s="31"/>
      <c r="DD68" s="32"/>
      <c r="DE68" s="33"/>
      <c r="DF68" s="33"/>
      <c r="DG68" s="34"/>
      <c r="DH68" s="34"/>
      <c r="DI68" s="34"/>
      <c r="DJ68" s="34"/>
      <c r="DK68" s="31"/>
      <c r="DL68" s="32"/>
      <c r="DM68" s="33"/>
      <c r="DN68" s="33"/>
      <c r="DO68" s="34"/>
      <c r="DP68" s="34"/>
      <c r="DQ68" s="34"/>
      <c r="DR68" s="34"/>
      <c r="DS68" s="31"/>
      <c r="DT68" s="32"/>
      <c r="DU68" s="33"/>
      <c r="DV68" s="33"/>
      <c r="DW68" s="34"/>
      <c r="DX68" s="34"/>
      <c r="DY68" s="34"/>
      <c r="DZ68" s="34"/>
      <c r="EA68" s="31"/>
      <c r="EB68" s="32"/>
      <c r="EC68" s="33"/>
      <c r="ED68" s="33"/>
      <c r="EE68" s="34"/>
      <c r="EF68" s="34"/>
      <c r="EG68" s="34"/>
      <c r="EH68" s="34"/>
      <c r="EI68" s="31"/>
      <c r="EJ68" s="32"/>
      <c r="EK68" s="33"/>
      <c r="EL68" s="33"/>
      <c r="EM68" s="34"/>
      <c r="EN68" s="34"/>
      <c r="EO68" s="34"/>
      <c r="EP68" s="34"/>
      <c r="EQ68" s="31"/>
      <c r="ER68" s="32"/>
      <c r="ES68" s="33"/>
      <c r="ET68" s="33"/>
      <c r="EU68" s="34"/>
      <c r="EV68" s="34"/>
      <c r="EW68" s="34"/>
      <c r="EX68" s="34"/>
      <c r="EY68" s="31"/>
      <c r="EZ68" s="32"/>
      <c r="FA68" s="33"/>
      <c r="FB68" s="33"/>
      <c r="FC68" s="34"/>
      <c r="FD68" s="34"/>
      <c r="FE68" s="34"/>
      <c r="FF68" s="34"/>
      <c r="FG68" s="31"/>
      <c r="FH68" s="32"/>
      <c r="FI68" s="33"/>
      <c r="FJ68" s="33"/>
      <c r="FK68" s="34"/>
      <c r="FL68" s="34"/>
      <c r="FM68" s="34"/>
      <c r="FN68" s="34"/>
      <c r="FO68" s="31"/>
      <c r="FP68" s="32"/>
      <c r="FQ68" s="33"/>
      <c r="FR68" s="33"/>
      <c r="FS68" s="34"/>
      <c r="FT68" s="34"/>
      <c r="FU68" s="34"/>
      <c r="FV68" s="34"/>
      <c r="FW68" s="31"/>
      <c r="FX68" s="32"/>
      <c r="FY68" s="33"/>
      <c r="FZ68" s="33"/>
      <c r="GA68" s="34"/>
      <c r="GB68" s="34"/>
      <c r="GC68" s="34"/>
      <c r="GD68" s="34"/>
      <c r="GE68" s="31"/>
      <c r="GF68" s="32"/>
      <c r="GG68" s="33"/>
      <c r="GH68" s="33"/>
      <c r="GI68" s="34"/>
      <c r="GJ68" s="34"/>
      <c r="GK68" s="34"/>
      <c r="GL68" s="34"/>
      <c r="GM68" s="31"/>
      <c r="GN68" s="32"/>
      <c r="GO68" s="33"/>
      <c r="GP68" s="33"/>
      <c r="GQ68" s="34"/>
      <c r="GR68" s="34"/>
      <c r="GS68" s="34"/>
      <c r="GT68" s="34"/>
      <c r="GU68" s="31"/>
      <c r="GV68" s="32"/>
      <c r="GW68" s="33"/>
      <c r="GX68" s="33"/>
      <c r="GY68" s="34"/>
      <c r="GZ68" s="34"/>
      <c r="HA68" s="34"/>
      <c r="HB68" s="34"/>
      <c r="HC68" s="31"/>
      <c r="HD68" s="32"/>
      <c r="HE68" s="33"/>
      <c r="HF68" s="33"/>
      <c r="HG68" s="34"/>
      <c r="HH68" s="34"/>
      <c r="HI68" s="34"/>
      <c r="HJ68" s="34"/>
      <c r="HK68" s="31"/>
      <c r="HL68" s="32"/>
      <c r="HM68" s="33"/>
      <c r="HN68" s="33"/>
      <c r="HO68" s="34"/>
      <c r="HP68" s="34"/>
      <c r="HQ68" s="34"/>
      <c r="HR68" s="34"/>
      <c r="HS68" s="31"/>
      <c r="HT68" s="32"/>
      <c r="HU68" s="33"/>
      <c r="HV68" s="33"/>
      <c r="HW68" s="34"/>
      <c r="HX68" s="34"/>
      <c r="HY68" s="34"/>
      <c r="HZ68" s="34"/>
      <c r="IA68" s="31"/>
      <c r="IB68" s="32"/>
      <c r="IC68" s="33"/>
      <c r="ID68" s="33"/>
      <c r="IE68" s="34"/>
      <c r="IF68" s="34"/>
      <c r="IG68" s="34"/>
      <c r="IH68" s="34"/>
      <c r="II68" s="31"/>
      <c r="IJ68" s="32"/>
      <c r="IK68" s="33"/>
      <c r="IL68" s="33"/>
      <c r="IM68" s="34"/>
      <c r="IN68" s="34"/>
      <c r="IO68" s="34"/>
      <c r="IP68" s="34"/>
      <c r="IQ68" s="31"/>
      <c r="IR68" s="32"/>
      <c r="IS68" s="33"/>
      <c r="IT68" s="33"/>
      <c r="IU68" s="34"/>
    </row>
    <row r="69" spans="1:255" s="35" customFormat="1" ht="36" customHeight="1">
      <c r="A69" s="22"/>
      <c r="B69" s="23" t="s">
        <v>368</v>
      </c>
      <c r="C69" s="26" t="s">
        <v>235</v>
      </c>
      <c r="D69" s="48">
        <v>18.8</v>
      </c>
      <c r="E69" s="24">
        <v>170703</v>
      </c>
      <c r="F69" s="24">
        <v>1171</v>
      </c>
      <c r="G69" s="48">
        <f>18653.8/1000</f>
        <v>18.6538</v>
      </c>
      <c r="H69" s="48">
        <f>18653.8/1000</f>
        <v>18.6538</v>
      </c>
      <c r="I69" s="165" t="s">
        <v>374</v>
      </c>
      <c r="J69" s="76" t="s">
        <v>289</v>
      </c>
      <c r="K69" s="31"/>
      <c r="L69" s="32"/>
      <c r="M69" s="33"/>
      <c r="N69" s="33"/>
      <c r="O69" s="34"/>
      <c r="P69" s="34"/>
      <c r="Q69" s="34"/>
      <c r="R69" s="34"/>
      <c r="S69" s="31"/>
      <c r="T69" s="32"/>
      <c r="U69" s="33"/>
      <c r="V69" s="33"/>
      <c r="W69" s="34"/>
      <c r="X69" s="34"/>
      <c r="Y69" s="34"/>
      <c r="Z69" s="34"/>
      <c r="AA69" s="31"/>
      <c r="AB69" s="32"/>
      <c r="AC69" s="33"/>
      <c r="AD69" s="33"/>
      <c r="AE69" s="34"/>
      <c r="AF69" s="34"/>
      <c r="AG69" s="34"/>
      <c r="AH69" s="34"/>
      <c r="AI69" s="31"/>
      <c r="AJ69" s="32"/>
      <c r="AK69" s="33"/>
      <c r="AL69" s="33"/>
      <c r="AM69" s="34"/>
      <c r="AN69" s="34"/>
      <c r="AO69" s="34"/>
      <c r="AP69" s="34"/>
      <c r="AQ69" s="31"/>
      <c r="AR69" s="32"/>
      <c r="AS69" s="33"/>
      <c r="AT69" s="33"/>
      <c r="AU69" s="34"/>
      <c r="AV69" s="34"/>
      <c r="AW69" s="34"/>
      <c r="AX69" s="34"/>
      <c r="AY69" s="31"/>
      <c r="AZ69" s="32"/>
      <c r="BA69" s="33"/>
      <c r="BB69" s="33"/>
      <c r="BC69" s="34"/>
      <c r="BD69" s="34"/>
      <c r="BE69" s="34"/>
      <c r="BF69" s="34"/>
      <c r="BG69" s="31"/>
      <c r="BH69" s="32"/>
      <c r="BI69" s="33"/>
      <c r="BJ69" s="33"/>
      <c r="BK69" s="34"/>
      <c r="BL69" s="34"/>
      <c r="BM69" s="34"/>
      <c r="BN69" s="34"/>
      <c r="BO69" s="31"/>
      <c r="BP69" s="32"/>
      <c r="BQ69" s="33"/>
      <c r="BR69" s="33"/>
      <c r="BS69" s="34"/>
      <c r="BT69" s="34"/>
      <c r="BU69" s="34"/>
      <c r="BV69" s="34"/>
      <c r="BW69" s="31"/>
      <c r="BX69" s="32"/>
      <c r="BY69" s="33"/>
      <c r="BZ69" s="33"/>
      <c r="CA69" s="34"/>
      <c r="CB69" s="34"/>
      <c r="CC69" s="34"/>
      <c r="CD69" s="34"/>
      <c r="CE69" s="31"/>
      <c r="CF69" s="32"/>
      <c r="CG69" s="33"/>
      <c r="CH69" s="33"/>
      <c r="CI69" s="34"/>
      <c r="CJ69" s="34"/>
      <c r="CK69" s="34"/>
      <c r="CL69" s="34"/>
      <c r="CM69" s="31"/>
      <c r="CN69" s="32"/>
      <c r="CO69" s="33"/>
      <c r="CP69" s="33"/>
      <c r="CQ69" s="34"/>
      <c r="CR69" s="34"/>
      <c r="CS69" s="34"/>
      <c r="CT69" s="34"/>
      <c r="CU69" s="31"/>
      <c r="CV69" s="32"/>
      <c r="CW69" s="33"/>
      <c r="CX69" s="33"/>
      <c r="CY69" s="34"/>
      <c r="CZ69" s="34"/>
      <c r="DA69" s="34"/>
      <c r="DB69" s="34"/>
      <c r="DC69" s="31"/>
      <c r="DD69" s="32"/>
      <c r="DE69" s="33"/>
      <c r="DF69" s="33"/>
      <c r="DG69" s="34"/>
      <c r="DH69" s="34"/>
      <c r="DI69" s="34"/>
      <c r="DJ69" s="34"/>
      <c r="DK69" s="31"/>
      <c r="DL69" s="32"/>
      <c r="DM69" s="33"/>
      <c r="DN69" s="33"/>
      <c r="DO69" s="34"/>
      <c r="DP69" s="34"/>
      <c r="DQ69" s="34"/>
      <c r="DR69" s="34"/>
      <c r="DS69" s="31"/>
      <c r="DT69" s="32"/>
      <c r="DU69" s="33"/>
      <c r="DV69" s="33"/>
      <c r="DW69" s="34"/>
      <c r="DX69" s="34"/>
      <c r="DY69" s="34"/>
      <c r="DZ69" s="34"/>
      <c r="EA69" s="31"/>
      <c r="EB69" s="32"/>
      <c r="EC69" s="33"/>
      <c r="ED69" s="33"/>
      <c r="EE69" s="34"/>
      <c r="EF69" s="34"/>
      <c r="EG69" s="34"/>
      <c r="EH69" s="34"/>
      <c r="EI69" s="31"/>
      <c r="EJ69" s="32"/>
      <c r="EK69" s="33"/>
      <c r="EL69" s="33"/>
      <c r="EM69" s="34"/>
      <c r="EN69" s="34"/>
      <c r="EO69" s="34"/>
      <c r="EP69" s="34"/>
      <c r="EQ69" s="31"/>
      <c r="ER69" s="32"/>
      <c r="ES69" s="33"/>
      <c r="ET69" s="33"/>
      <c r="EU69" s="34"/>
      <c r="EV69" s="34"/>
      <c r="EW69" s="34"/>
      <c r="EX69" s="34"/>
      <c r="EY69" s="31"/>
      <c r="EZ69" s="32"/>
      <c r="FA69" s="33"/>
      <c r="FB69" s="33"/>
      <c r="FC69" s="34"/>
      <c r="FD69" s="34"/>
      <c r="FE69" s="34"/>
      <c r="FF69" s="34"/>
      <c r="FG69" s="31"/>
      <c r="FH69" s="32"/>
      <c r="FI69" s="33"/>
      <c r="FJ69" s="33"/>
      <c r="FK69" s="34"/>
      <c r="FL69" s="34"/>
      <c r="FM69" s="34"/>
      <c r="FN69" s="34"/>
      <c r="FO69" s="31"/>
      <c r="FP69" s="32"/>
      <c r="FQ69" s="33"/>
      <c r="FR69" s="33"/>
      <c r="FS69" s="34"/>
      <c r="FT69" s="34"/>
      <c r="FU69" s="34"/>
      <c r="FV69" s="34"/>
      <c r="FW69" s="31"/>
      <c r="FX69" s="32"/>
      <c r="FY69" s="33"/>
      <c r="FZ69" s="33"/>
      <c r="GA69" s="34"/>
      <c r="GB69" s="34"/>
      <c r="GC69" s="34"/>
      <c r="GD69" s="34"/>
      <c r="GE69" s="31"/>
      <c r="GF69" s="32"/>
      <c r="GG69" s="33"/>
      <c r="GH69" s="33"/>
      <c r="GI69" s="34"/>
      <c r="GJ69" s="34"/>
      <c r="GK69" s="34"/>
      <c r="GL69" s="34"/>
      <c r="GM69" s="31"/>
      <c r="GN69" s="32"/>
      <c r="GO69" s="33"/>
      <c r="GP69" s="33"/>
      <c r="GQ69" s="34"/>
      <c r="GR69" s="34"/>
      <c r="GS69" s="34"/>
      <c r="GT69" s="34"/>
      <c r="GU69" s="31"/>
      <c r="GV69" s="32"/>
      <c r="GW69" s="33"/>
      <c r="GX69" s="33"/>
      <c r="GY69" s="34"/>
      <c r="GZ69" s="34"/>
      <c r="HA69" s="34"/>
      <c r="HB69" s="34"/>
      <c r="HC69" s="31"/>
      <c r="HD69" s="32"/>
      <c r="HE69" s="33"/>
      <c r="HF69" s="33"/>
      <c r="HG69" s="34"/>
      <c r="HH69" s="34"/>
      <c r="HI69" s="34"/>
      <c r="HJ69" s="34"/>
      <c r="HK69" s="31"/>
      <c r="HL69" s="32"/>
      <c r="HM69" s="33"/>
      <c r="HN69" s="33"/>
      <c r="HO69" s="34"/>
      <c r="HP69" s="34"/>
      <c r="HQ69" s="34"/>
      <c r="HR69" s="34"/>
      <c r="HS69" s="31"/>
      <c r="HT69" s="32"/>
      <c r="HU69" s="33"/>
      <c r="HV69" s="33"/>
      <c r="HW69" s="34"/>
      <c r="HX69" s="34"/>
      <c r="HY69" s="34"/>
      <c r="HZ69" s="34"/>
      <c r="IA69" s="31"/>
      <c r="IB69" s="32"/>
      <c r="IC69" s="33"/>
      <c r="ID69" s="33"/>
      <c r="IE69" s="34"/>
      <c r="IF69" s="34"/>
      <c r="IG69" s="34"/>
      <c r="IH69" s="34"/>
      <c r="II69" s="31"/>
      <c r="IJ69" s="32"/>
      <c r="IK69" s="33"/>
      <c r="IL69" s="33"/>
      <c r="IM69" s="34"/>
      <c r="IN69" s="34"/>
      <c r="IO69" s="34"/>
      <c r="IP69" s="34"/>
      <c r="IQ69" s="31"/>
      <c r="IR69" s="32"/>
      <c r="IS69" s="33"/>
      <c r="IT69" s="33"/>
      <c r="IU69" s="34"/>
    </row>
    <row r="70" spans="1:255" s="35" customFormat="1" ht="38.25" customHeight="1">
      <c r="A70" s="22"/>
      <c r="B70" s="61" t="s">
        <v>369</v>
      </c>
      <c r="C70" s="26" t="s">
        <v>73</v>
      </c>
      <c r="D70" s="48">
        <v>137.39</v>
      </c>
      <c r="E70" s="24">
        <v>170703</v>
      </c>
      <c r="F70" s="24">
        <v>1171</v>
      </c>
      <c r="G70" s="48">
        <f>7432/1000</f>
        <v>7.432</v>
      </c>
      <c r="H70" s="48">
        <f>7432/1000</f>
        <v>7.432</v>
      </c>
      <c r="I70" s="165" t="s">
        <v>374</v>
      </c>
      <c r="J70" s="76" t="s">
        <v>289</v>
      </c>
      <c r="K70" s="31"/>
      <c r="L70" s="32"/>
      <c r="M70" s="33"/>
      <c r="N70" s="33"/>
      <c r="O70" s="34"/>
      <c r="P70" s="34"/>
      <c r="Q70" s="34"/>
      <c r="R70" s="34"/>
      <c r="S70" s="31"/>
      <c r="T70" s="32"/>
      <c r="U70" s="33"/>
      <c r="V70" s="33"/>
      <c r="W70" s="34"/>
      <c r="X70" s="34"/>
      <c r="Y70" s="34"/>
      <c r="Z70" s="34"/>
      <c r="AA70" s="31"/>
      <c r="AB70" s="32"/>
      <c r="AC70" s="33"/>
      <c r="AD70" s="33"/>
      <c r="AE70" s="34"/>
      <c r="AF70" s="34"/>
      <c r="AG70" s="34"/>
      <c r="AH70" s="34"/>
      <c r="AI70" s="31"/>
      <c r="AJ70" s="32"/>
      <c r="AK70" s="33"/>
      <c r="AL70" s="33"/>
      <c r="AM70" s="34"/>
      <c r="AN70" s="34"/>
      <c r="AO70" s="34"/>
      <c r="AP70" s="34"/>
      <c r="AQ70" s="31"/>
      <c r="AR70" s="32"/>
      <c r="AS70" s="33"/>
      <c r="AT70" s="33"/>
      <c r="AU70" s="34"/>
      <c r="AV70" s="34"/>
      <c r="AW70" s="34"/>
      <c r="AX70" s="34"/>
      <c r="AY70" s="31"/>
      <c r="AZ70" s="32"/>
      <c r="BA70" s="33"/>
      <c r="BB70" s="33"/>
      <c r="BC70" s="34"/>
      <c r="BD70" s="34"/>
      <c r="BE70" s="34"/>
      <c r="BF70" s="34"/>
      <c r="BG70" s="31"/>
      <c r="BH70" s="32"/>
      <c r="BI70" s="33"/>
      <c r="BJ70" s="33"/>
      <c r="BK70" s="34"/>
      <c r="BL70" s="34"/>
      <c r="BM70" s="34"/>
      <c r="BN70" s="34"/>
      <c r="BO70" s="31"/>
      <c r="BP70" s="32"/>
      <c r="BQ70" s="33"/>
      <c r="BR70" s="33"/>
      <c r="BS70" s="34"/>
      <c r="BT70" s="34"/>
      <c r="BU70" s="34"/>
      <c r="BV70" s="34"/>
      <c r="BW70" s="31"/>
      <c r="BX70" s="32"/>
      <c r="BY70" s="33"/>
      <c r="BZ70" s="33"/>
      <c r="CA70" s="34"/>
      <c r="CB70" s="34"/>
      <c r="CC70" s="34"/>
      <c r="CD70" s="34"/>
      <c r="CE70" s="31"/>
      <c r="CF70" s="32"/>
      <c r="CG70" s="33"/>
      <c r="CH70" s="33"/>
      <c r="CI70" s="34"/>
      <c r="CJ70" s="34"/>
      <c r="CK70" s="34"/>
      <c r="CL70" s="34"/>
      <c r="CM70" s="31"/>
      <c r="CN70" s="32"/>
      <c r="CO70" s="33"/>
      <c r="CP70" s="33"/>
      <c r="CQ70" s="34"/>
      <c r="CR70" s="34"/>
      <c r="CS70" s="34"/>
      <c r="CT70" s="34"/>
      <c r="CU70" s="31"/>
      <c r="CV70" s="32"/>
      <c r="CW70" s="33"/>
      <c r="CX70" s="33"/>
      <c r="CY70" s="34"/>
      <c r="CZ70" s="34"/>
      <c r="DA70" s="34"/>
      <c r="DB70" s="34"/>
      <c r="DC70" s="31"/>
      <c r="DD70" s="32"/>
      <c r="DE70" s="33"/>
      <c r="DF70" s="33"/>
      <c r="DG70" s="34"/>
      <c r="DH70" s="34"/>
      <c r="DI70" s="34"/>
      <c r="DJ70" s="34"/>
      <c r="DK70" s="31"/>
      <c r="DL70" s="32"/>
      <c r="DM70" s="33"/>
      <c r="DN70" s="33"/>
      <c r="DO70" s="34"/>
      <c r="DP70" s="34"/>
      <c r="DQ70" s="34"/>
      <c r="DR70" s="34"/>
      <c r="DS70" s="31"/>
      <c r="DT70" s="32"/>
      <c r="DU70" s="33"/>
      <c r="DV70" s="33"/>
      <c r="DW70" s="34"/>
      <c r="DX70" s="34"/>
      <c r="DY70" s="34"/>
      <c r="DZ70" s="34"/>
      <c r="EA70" s="31"/>
      <c r="EB70" s="32"/>
      <c r="EC70" s="33"/>
      <c r="ED70" s="33"/>
      <c r="EE70" s="34"/>
      <c r="EF70" s="34"/>
      <c r="EG70" s="34"/>
      <c r="EH70" s="34"/>
      <c r="EI70" s="31"/>
      <c r="EJ70" s="32"/>
      <c r="EK70" s="33"/>
      <c r="EL70" s="33"/>
      <c r="EM70" s="34"/>
      <c r="EN70" s="34"/>
      <c r="EO70" s="34"/>
      <c r="EP70" s="34"/>
      <c r="EQ70" s="31"/>
      <c r="ER70" s="32"/>
      <c r="ES70" s="33"/>
      <c r="ET70" s="33"/>
      <c r="EU70" s="34"/>
      <c r="EV70" s="34"/>
      <c r="EW70" s="34"/>
      <c r="EX70" s="34"/>
      <c r="EY70" s="31"/>
      <c r="EZ70" s="32"/>
      <c r="FA70" s="33"/>
      <c r="FB70" s="33"/>
      <c r="FC70" s="34"/>
      <c r="FD70" s="34"/>
      <c r="FE70" s="34"/>
      <c r="FF70" s="34"/>
      <c r="FG70" s="31"/>
      <c r="FH70" s="32"/>
      <c r="FI70" s="33"/>
      <c r="FJ70" s="33"/>
      <c r="FK70" s="34"/>
      <c r="FL70" s="34"/>
      <c r="FM70" s="34"/>
      <c r="FN70" s="34"/>
      <c r="FO70" s="31"/>
      <c r="FP70" s="32"/>
      <c r="FQ70" s="33"/>
      <c r="FR70" s="33"/>
      <c r="FS70" s="34"/>
      <c r="FT70" s="34"/>
      <c r="FU70" s="34"/>
      <c r="FV70" s="34"/>
      <c r="FW70" s="31"/>
      <c r="FX70" s="32"/>
      <c r="FY70" s="33"/>
      <c r="FZ70" s="33"/>
      <c r="GA70" s="34"/>
      <c r="GB70" s="34"/>
      <c r="GC70" s="34"/>
      <c r="GD70" s="34"/>
      <c r="GE70" s="31"/>
      <c r="GF70" s="32"/>
      <c r="GG70" s="33"/>
      <c r="GH70" s="33"/>
      <c r="GI70" s="34"/>
      <c r="GJ70" s="34"/>
      <c r="GK70" s="34"/>
      <c r="GL70" s="34"/>
      <c r="GM70" s="31"/>
      <c r="GN70" s="32"/>
      <c r="GO70" s="33"/>
      <c r="GP70" s="33"/>
      <c r="GQ70" s="34"/>
      <c r="GR70" s="34"/>
      <c r="GS70" s="34"/>
      <c r="GT70" s="34"/>
      <c r="GU70" s="31"/>
      <c r="GV70" s="32"/>
      <c r="GW70" s="33"/>
      <c r="GX70" s="33"/>
      <c r="GY70" s="34"/>
      <c r="GZ70" s="34"/>
      <c r="HA70" s="34"/>
      <c r="HB70" s="34"/>
      <c r="HC70" s="31"/>
      <c r="HD70" s="32"/>
      <c r="HE70" s="33"/>
      <c r="HF70" s="33"/>
      <c r="HG70" s="34"/>
      <c r="HH70" s="34"/>
      <c r="HI70" s="34"/>
      <c r="HJ70" s="34"/>
      <c r="HK70" s="31"/>
      <c r="HL70" s="32"/>
      <c r="HM70" s="33"/>
      <c r="HN70" s="33"/>
      <c r="HO70" s="34"/>
      <c r="HP70" s="34"/>
      <c r="HQ70" s="34"/>
      <c r="HR70" s="34"/>
      <c r="HS70" s="31"/>
      <c r="HT70" s="32"/>
      <c r="HU70" s="33"/>
      <c r="HV70" s="33"/>
      <c r="HW70" s="34"/>
      <c r="HX70" s="34"/>
      <c r="HY70" s="34"/>
      <c r="HZ70" s="34"/>
      <c r="IA70" s="31"/>
      <c r="IB70" s="32"/>
      <c r="IC70" s="33"/>
      <c r="ID70" s="33"/>
      <c r="IE70" s="34"/>
      <c r="IF70" s="34"/>
      <c r="IG70" s="34"/>
      <c r="IH70" s="34"/>
      <c r="II70" s="31"/>
      <c r="IJ70" s="32"/>
      <c r="IK70" s="33"/>
      <c r="IL70" s="33"/>
      <c r="IM70" s="34"/>
      <c r="IN70" s="34"/>
      <c r="IO70" s="34"/>
      <c r="IP70" s="34"/>
      <c r="IQ70" s="31"/>
      <c r="IR70" s="32"/>
      <c r="IS70" s="33"/>
      <c r="IT70" s="33"/>
      <c r="IU70" s="34"/>
    </row>
    <row r="71" spans="1:255" s="35" customFormat="1" ht="27" customHeight="1">
      <c r="A71" s="22"/>
      <c r="B71" s="41" t="s">
        <v>371</v>
      </c>
      <c r="C71" s="26" t="s">
        <v>73</v>
      </c>
      <c r="D71" s="68">
        <v>656</v>
      </c>
      <c r="E71" s="69">
        <v>170703</v>
      </c>
      <c r="F71" s="69">
        <v>1171</v>
      </c>
      <c r="G71" s="68">
        <f>205900/1000-70.31</f>
        <v>135.59</v>
      </c>
      <c r="H71" s="68">
        <f>135.59-0.2</f>
        <v>135.39000000000001</v>
      </c>
      <c r="I71" s="166" t="s">
        <v>375</v>
      </c>
      <c r="J71" s="76" t="s">
        <v>289</v>
      </c>
      <c r="K71" s="31">
        <f>205.9-205.7</f>
        <v>0.20000000000001705</v>
      </c>
      <c r="L71" s="32"/>
      <c r="M71" s="33"/>
      <c r="N71" s="33"/>
      <c r="O71" s="34"/>
      <c r="P71" s="34"/>
      <c r="Q71" s="34"/>
      <c r="R71" s="34"/>
      <c r="S71" s="31"/>
      <c r="T71" s="32"/>
      <c r="U71" s="33"/>
      <c r="V71" s="33"/>
      <c r="W71" s="34"/>
      <c r="X71" s="34"/>
      <c r="Y71" s="34"/>
      <c r="Z71" s="34"/>
      <c r="AA71" s="31"/>
      <c r="AB71" s="32"/>
      <c r="AC71" s="33"/>
      <c r="AD71" s="33"/>
      <c r="AE71" s="34"/>
      <c r="AF71" s="34"/>
      <c r="AG71" s="34"/>
      <c r="AH71" s="34"/>
      <c r="AI71" s="31"/>
      <c r="AJ71" s="32"/>
      <c r="AK71" s="33"/>
      <c r="AL71" s="33"/>
      <c r="AM71" s="34"/>
      <c r="AN71" s="34"/>
      <c r="AO71" s="34"/>
      <c r="AP71" s="34"/>
      <c r="AQ71" s="31"/>
      <c r="AR71" s="32"/>
      <c r="AS71" s="33"/>
      <c r="AT71" s="33"/>
      <c r="AU71" s="34"/>
      <c r="AV71" s="34"/>
      <c r="AW71" s="34"/>
      <c r="AX71" s="34"/>
      <c r="AY71" s="31"/>
      <c r="AZ71" s="32"/>
      <c r="BA71" s="33"/>
      <c r="BB71" s="33"/>
      <c r="BC71" s="34"/>
      <c r="BD71" s="34"/>
      <c r="BE71" s="34"/>
      <c r="BF71" s="34"/>
      <c r="BG71" s="31"/>
      <c r="BH71" s="32"/>
      <c r="BI71" s="33"/>
      <c r="BJ71" s="33"/>
      <c r="BK71" s="34"/>
      <c r="BL71" s="34"/>
      <c r="BM71" s="34"/>
      <c r="BN71" s="34"/>
      <c r="BO71" s="31"/>
      <c r="BP71" s="32"/>
      <c r="BQ71" s="33"/>
      <c r="BR71" s="33"/>
      <c r="BS71" s="34"/>
      <c r="BT71" s="34"/>
      <c r="BU71" s="34"/>
      <c r="BV71" s="34"/>
      <c r="BW71" s="31"/>
      <c r="BX71" s="32"/>
      <c r="BY71" s="33"/>
      <c r="BZ71" s="33"/>
      <c r="CA71" s="34"/>
      <c r="CB71" s="34"/>
      <c r="CC71" s="34"/>
      <c r="CD71" s="34"/>
      <c r="CE71" s="31"/>
      <c r="CF71" s="32"/>
      <c r="CG71" s="33"/>
      <c r="CH71" s="33"/>
      <c r="CI71" s="34"/>
      <c r="CJ71" s="34"/>
      <c r="CK71" s="34"/>
      <c r="CL71" s="34"/>
      <c r="CM71" s="31"/>
      <c r="CN71" s="32"/>
      <c r="CO71" s="33"/>
      <c r="CP71" s="33"/>
      <c r="CQ71" s="34"/>
      <c r="CR71" s="34"/>
      <c r="CS71" s="34"/>
      <c r="CT71" s="34"/>
      <c r="CU71" s="31"/>
      <c r="CV71" s="32"/>
      <c r="CW71" s="33"/>
      <c r="CX71" s="33"/>
      <c r="CY71" s="34"/>
      <c r="CZ71" s="34"/>
      <c r="DA71" s="34"/>
      <c r="DB71" s="34"/>
      <c r="DC71" s="31"/>
      <c r="DD71" s="32"/>
      <c r="DE71" s="33"/>
      <c r="DF71" s="33"/>
      <c r="DG71" s="34"/>
      <c r="DH71" s="34"/>
      <c r="DI71" s="34"/>
      <c r="DJ71" s="34"/>
      <c r="DK71" s="31"/>
      <c r="DL71" s="32"/>
      <c r="DM71" s="33"/>
      <c r="DN71" s="33"/>
      <c r="DO71" s="34"/>
      <c r="DP71" s="34"/>
      <c r="DQ71" s="34"/>
      <c r="DR71" s="34"/>
      <c r="DS71" s="31"/>
      <c r="DT71" s="32"/>
      <c r="DU71" s="33"/>
      <c r="DV71" s="33"/>
      <c r="DW71" s="34"/>
      <c r="DX71" s="34"/>
      <c r="DY71" s="34"/>
      <c r="DZ71" s="34"/>
      <c r="EA71" s="31"/>
      <c r="EB71" s="32"/>
      <c r="EC71" s="33"/>
      <c r="ED71" s="33"/>
      <c r="EE71" s="34"/>
      <c r="EF71" s="34"/>
      <c r="EG71" s="34"/>
      <c r="EH71" s="34"/>
      <c r="EI71" s="31"/>
      <c r="EJ71" s="32"/>
      <c r="EK71" s="33"/>
      <c r="EL71" s="33"/>
      <c r="EM71" s="34"/>
      <c r="EN71" s="34"/>
      <c r="EO71" s="34"/>
      <c r="EP71" s="34"/>
      <c r="EQ71" s="31"/>
      <c r="ER71" s="32"/>
      <c r="ES71" s="33"/>
      <c r="ET71" s="33"/>
      <c r="EU71" s="34"/>
      <c r="EV71" s="34"/>
      <c r="EW71" s="34"/>
      <c r="EX71" s="34"/>
      <c r="EY71" s="31"/>
      <c r="EZ71" s="32"/>
      <c r="FA71" s="33"/>
      <c r="FB71" s="33"/>
      <c r="FC71" s="34"/>
      <c r="FD71" s="34"/>
      <c r="FE71" s="34"/>
      <c r="FF71" s="34"/>
      <c r="FG71" s="31"/>
      <c r="FH71" s="32"/>
      <c r="FI71" s="33"/>
      <c r="FJ71" s="33"/>
      <c r="FK71" s="34"/>
      <c r="FL71" s="34"/>
      <c r="FM71" s="34"/>
      <c r="FN71" s="34"/>
      <c r="FO71" s="31"/>
      <c r="FP71" s="32"/>
      <c r="FQ71" s="33"/>
      <c r="FR71" s="33"/>
      <c r="FS71" s="34"/>
      <c r="FT71" s="34"/>
      <c r="FU71" s="34"/>
      <c r="FV71" s="34"/>
      <c r="FW71" s="31"/>
      <c r="FX71" s="32"/>
      <c r="FY71" s="33"/>
      <c r="FZ71" s="33"/>
      <c r="GA71" s="34"/>
      <c r="GB71" s="34"/>
      <c r="GC71" s="34"/>
      <c r="GD71" s="34"/>
      <c r="GE71" s="31"/>
      <c r="GF71" s="32"/>
      <c r="GG71" s="33"/>
      <c r="GH71" s="33"/>
      <c r="GI71" s="34"/>
      <c r="GJ71" s="34"/>
      <c r="GK71" s="34"/>
      <c r="GL71" s="34"/>
      <c r="GM71" s="31"/>
      <c r="GN71" s="32"/>
      <c r="GO71" s="33"/>
      <c r="GP71" s="33"/>
      <c r="GQ71" s="34"/>
      <c r="GR71" s="34"/>
      <c r="GS71" s="34"/>
      <c r="GT71" s="34"/>
      <c r="GU71" s="31"/>
      <c r="GV71" s="32"/>
      <c r="GW71" s="33"/>
      <c r="GX71" s="33"/>
      <c r="GY71" s="34"/>
      <c r="GZ71" s="34"/>
      <c r="HA71" s="34"/>
      <c r="HB71" s="34"/>
      <c r="HC71" s="31"/>
      <c r="HD71" s="32"/>
      <c r="HE71" s="33"/>
      <c r="HF71" s="33"/>
      <c r="HG71" s="34"/>
      <c r="HH71" s="34"/>
      <c r="HI71" s="34"/>
      <c r="HJ71" s="34"/>
      <c r="HK71" s="31"/>
      <c r="HL71" s="32"/>
      <c r="HM71" s="33"/>
      <c r="HN71" s="33"/>
      <c r="HO71" s="34"/>
      <c r="HP71" s="34"/>
      <c r="HQ71" s="34"/>
      <c r="HR71" s="34"/>
      <c r="HS71" s="31"/>
      <c r="HT71" s="32"/>
      <c r="HU71" s="33"/>
      <c r="HV71" s="33"/>
      <c r="HW71" s="34"/>
      <c r="HX71" s="34"/>
      <c r="HY71" s="34"/>
      <c r="HZ71" s="34"/>
      <c r="IA71" s="31"/>
      <c r="IB71" s="32"/>
      <c r="IC71" s="33"/>
      <c r="ID71" s="33"/>
      <c r="IE71" s="34"/>
      <c r="IF71" s="34"/>
      <c r="IG71" s="34"/>
      <c r="IH71" s="34"/>
      <c r="II71" s="31"/>
      <c r="IJ71" s="32"/>
      <c r="IK71" s="33"/>
      <c r="IL71" s="33"/>
      <c r="IM71" s="34"/>
      <c r="IN71" s="34"/>
      <c r="IO71" s="34"/>
      <c r="IP71" s="34"/>
      <c r="IQ71" s="31"/>
      <c r="IR71" s="32"/>
      <c r="IS71" s="33"/>
      <c r="IT71" s="33"/>
      <c r="IU71" s="34"/>
    </row>
    <row r="72" spans="1:255" s="35" customFormat="1" ht="32.25" customHeight="1">
      <c r="A72" s="22"/>
      <c r="B72" s="41" t="s">
        <v>372</v>
      </c>
      <c r="C72" s="26" t="s">
        <v>73</v>
      </c>
      <c r="D72" s="70">
        <v>567.2</v>
      </c>
      <c r="E72" s="69">
        <v>170703</v>
      </c>
      <c r="F72" s="69">
        <v>2410</v>
      </c>
      <c r="G72" s="70">
        <f>88000/1000</f>
        <v>88</v>
      </c>
      <c r="H72" s="70">
        <v>88</v>
      </c>
      <c r="I72" s="166" t="s">
        <v>375</v>
      </c>
      <c r="J72" s="76" t="s">
        <v>289</v>
      </c>
      <c r="K72" s="31"/>
      <c r="L72" s="32"/>
      <c r="M72" s="33"/>
      <c r="N72" s="33"/>
      <c r="O72" s="34"/>
      <c r="P72" s="34"/>
      <c r="Q72" s="34"/>
      <c r="R72" s="34"/>
      <c r="S72" s="31"/>
      <c r="T72" s="32"/>
      <c r="U72" s="33"/>
      <c r="V72" s="33"/>
      <c r="W72" s="34"/>
      <c r="X72" s="34"/>
      <c r="Y72" s="34"/>
      <c r="Z72" s="34"/>
      <c r="AA72" s="31"/>
      <c r="AB72" s="32"/>
      <c r="AC72" s="33"/>
      <c r="AD72" s="33"/>
      <c r="AE72" s="34"/>
      <c r="AF72" s="34"/>
      <c r="AG72" s="34"/>
      <c r="AH72" s="34"/>
      <c r="AI72" s="31"/>
      <c r="AJ72" s="32"/>
      <c r="AK72" s="33"/>
      <c r="AL72" s="33"/>
      <c r="AM72" s="34"/>
      <c r="AN72" s="34"/>
      <c r="AO72" s="34"/>
      <c r="AP72" s="34"/>
      <c r="AQ72" s="31"/>
      <c r="AR72" s="32"/>
      <c r="AS72" s="33"/>
      <c r="AT72" s="33"/>
      <c r="AU72" s="34"/>
      <c r="AV72" s="34"/>
      <c r="AW72" s="34"/>
      <c r="AX72" s="34"/>
      <c r="AY72" s="31"/>
      <c r="AZ72" s="32"/>
      <c r="BA72" s="33"/>
      <c r="BB72" s="33"/>
      <c r="BC72" s="34"/>
      <c r="BD72" s="34"/>
      <c r="BE72" s="34"/>
      <c r="BF72" s="34"/>
      <c r="BG72" s="31"/>
      <c r="BH72" s="32"/>
      <c r="BI72" s="33"/>
      <c r="BJ72" s="33"/>
      <c r="BK72" s="34"/>
      <c r="BL72" s="34"/>
      <c r="BM72" s="34"/>
      <c r="BN72" s="34"/>
      <c r="BO72" s="31"/>
      <c r="BP72" s="32"/>
      <c r="BQ72" s="33"/>
      <c r="BR72" s="33"/>
      <c r="BS72" s="34"/>
      <c r="BT72" s="34"/>
      <c r="BU72" s="34"/>
      <c r="BV72" s="34"/>
      <c r="BW72" s="31"/>
      <c r="BX72" s="32"/>
      <c r="BY72" s="33"/>
      <c r="BZ72" s="33"/>
      <c r="CA72" s="34"/>
      <c r="CB72" s="34"/>
      <c r="CC72" s="34"/>
      <c r="CD72" s="34"/>
      <c r="CE72" s="31"/>
      <c r="CF72" s="32"/>
      <c r="CG72" s="33"/>
      <c r="CH72" s="33"/>
      <c r="CI72" s="34"/>
      <c r="CJ72" s="34"/>
      <c r="CK72" s="34"/>
      <c r="CL72" s="34"/>
      <c r="CM72" s="31"/>
      <c r="CN72" s="32"/>
      <c r="CO72" s="33"/>
      <c r="CP72" s="33"/>
      <c r="CQ72" s="34"/>
      <c r="CR72" s="34"/>
      <c r="CS72" s="34"/>
      <c r="CT72" s="34"/>
      <c r="CU72" s="31"/>
      <c r="CV72" s="32"/>
      <c r="CW72" s="33"/>
      <c r="CX72" s="33"/>
      <c r="CY72" s="34"/>
      <c r="CZ72" s="34"/>
      <c r="DA72" s="34"/>
      <c r="DB72" s="34"/>
      <c r="DC72" s="31"/>
      <c r="DD72" s="32"/>
      <c r="DE72" s="33"/>
      <c r="DF72" s="33"/>
      <c r="DG72" s="34"/>
      <c r="DH72" s="34"/>
      <c r="DI72" s="34"/>
      <c r="DJ72" s="34"/>
      <c r="DK72" s="31"/>
      <c r="DL72" s="32"/>
      <c r="DM72" s="33"/>
      <c r="DN72" s="33"/>
      <c r="DO72" s="34"/>
      <c r="DP72" s="34"/>
      <c r="DQ72" s="34"/>
      <c r="DR72" s="34"/>
      <c r="DS72" s="31"/>
      <c r="DT72" s="32"/>
      <c r="DU72" s="33"/>
      <c r="DV72" s="33"/>
      <c r="DW72" s="34"/>
      <c r="DX72" s="34"/>
      <c r="DY72" s="34"/>
      <c r="DZ72" s="34"/>
      <c r="EA72" s="31"/>
      <c r="EB72" s="32"/>
      <c r="EC72" s="33"/>
      <c r="ED72" s="33"/>
      <c r="EE72" s="34"/>
      <c r="EF72" s="34"/>
      <c r="EG72" s="34"/>
      <c r="EH72" s="34"/>
      <c r="EI72" s="31"/>
      <c r="EJ72" s="32"/>
      <c r="EK72" s="33"/>
      <c r="EL72" s="33"/>
      <c r="EM72" s="34"/>
      <c r="EN72" s="34"/>
      <c r="EO72" s="34"/>
      <c r="EP72" s="34"/>
      <c r="EQ72" s="31"/>
      <c r="ER72" s="32"/>
      <c r="ES72" s="33"/>
      <c r="ET72" s="33"/>
      <c r="EU72" s="34"/>
      <c r="EV72" s="34"/>
      <c r="EW72" s="34"/>
      <c r="EX72" s="34"/>
      <c r="EY72" s="31"/>
      <c r="EZ72" s="32"/>
      <c r="FA72" s="33"/>
      <c r="FB72" s="33"/>
      <c r="FC72" s="34"/>
      <c r="FD72" s="34"/>
      <c r="FE72" s="34"/>
      <c r="FF72" s="34"/>
      <c r="FG72" s="31"/>
      <c r="FH72" s="32"/>
      <c r="FI72" s="33"/>
      <c r="FJ72" s="33"/>
      <c r="FK72" s="34"/>
      <c r="FL72" s="34"/>
      <c r="FM72" s="34"/>
      <c r="FN72" s="34"/>
      <c r="FO72" s="31"/>
      <c r="FP72" s="32"/>
      <c r="FQ72" s="33"/>
      <c r="FR72" s="33"/>
      <c r="FS72" s="34"/>
      <c r="FT72" s="34"/>
      <c r="FU72" s="34"/>
      <c r="FV72" s="34"/>
      <c r="FW72" s="31"/>
      <c r="FX72" s="32"/>
      <c r="FY72" s="33"/>
      <c r="FZ72" s="33"/>
      <c r="GA72" s="34"/>
      <c r="GB72" s="34"/>
      <c r="GC72" s="34"/>
      <c r="GD72" s="34"/>
      <c r="GE72" s="31"/>
      <c r="GF72" s="32"/>
      <c r="GG72" s="33"/>
      <c r="GH72" s="33"/>
      <c r="GI72" s="34"/>
      <c r="GJ72" s="34"/>
      <c r="GK72" s="34"/>
      <c r="GL72" s="34"/>
      <c r="GM72" s="31"/>
      <c r="GN72" s="32"/>
      <c r="GO72" s="33"/>
      <c r="GP72" s="33"/>
      <c r="GQ72" s="34"/>
      <c r="GR72" s="34"/>
      <c r="GS72" s="34"/>
      <c r="GT72" s="34"/>
      <c r="GU72" s="31"/>
      <c r="GV72" s="32"/>
      <c r="GW72" s="33"/>
      <c r="GX72" s="33"/>
      <c r="GY72" s="34"/>
      <c r="GZ72" s="34"/>
      <c r="HA72" s="34"/>
      <c r="HB72" s="34"/>
      <c r="HC72" s="31"/>
      <c r="HD72" s="32"/>
      <c r="HE72" s="33"/>
      <c r="HF72" s="33"/>
      <c r="HG72" s="34"/>
      <c r="HH72" s="34"/>
      <c r="HI72" s="34"/>
      <c r="HJ72" s="34"/>
      <c r="HK72" s="31"/>
      <c r="HL72" s="32"/>
      <c r="HM72" s="33"/>
      <c r="HN72" s="33"/>
      <c r="HO72" s="34"/>
      <c r="HP72" s="34"/>
      <c r="HQ72" s="34"/>
      <c r="HR72" s="34"/>
      <c r="HS72" s="31"/>
      <c r="HT72" s="32"/>
      <c r="HU72" s="33"/>
      <c r="HV72" s="33"/>
      <c r="HW72" s="34"/>
      <c r="HX72" s="34"/>
      <c r="HY72" s="34"/>
      <c r="HZ72" s="34"/>
      <c r="IA72" s="31"/>
      <c r="IB72" s="32"/>
      <c r="IC72" s="33"/>
      <c r="ID72" s="33"/>
      <c r="IE72" s="34"/>
      <c r="IF72" s="34"/>
      <c r="IG72" s="34"/>
      <c r="IH72" s="34"/>
      <c r="II72" s="31"/>
      <c r="IJ72" s="32"/>
      <c r="IK72" s="33"/>
      <c r="IL72" s="33"/>
      <c r="IM72" s="34"/>
      <c r="IN72" s="34"/>
      <c r="IO72" s="34"/>
      <c r="IP72" s="34"/>
      <c r="IQ72" s="31"/>
      <c r="IR72" s="32"/>
      <c r="IS72" s="33"/>
      <c r="IT72" s="33"/>
      <c r="IU72" s="34"/>
    </row>
    <row r="73" spans="1:255" s="35" customFormat="1" ht="34.5" customHeight="1">
      <c r="A73" s="22"/>
      <c r="B73" s="41" t="s">
        <v>372</v>
      </c>
      <c r="C73" s="26" t="s">
        <v>73</v>
      </c>
      <c r="D73" s="70">
        <v>13130</v>
      </c>
      <c r="E73" s="69">
        <v>100203</v>
      </c>
      <c r="F73" s="69">
        <v>2410</v>
      </c>
      <c r="G73" s="70">
        <f>1150000/1000</f>
        <v>1150</v>
      </c>
      <c r="H73" s="70">
        <v>1149.8</v>
      </c>
      <c r="I73" s="166" t="s">
        <v>375</v>
      </c>
      <c r="J73" s="76" t="s">
        <v>289</v>
      </c>
      <c r="K73" s="31"/>
      <c r="L73" s="32"/>
      <c r="M73" s="33"/>
      <c r="N73" s="33"/>
      <c r="O73" s="34"/>
      <c r="P73" s="34"/>
      <c r="Q73" s="34"/>
      <c r="R73" s="34"/>
      <c r="S73" s="31"/>
      <c r="T73" s="32"/>
      <c r="U73" s="33"/>
      <c r="V73" s="33"/>
      <c r="W73" s="34"/>
      <c r="X73" s="34"/>
      <c r="Y73" s="34"/>
      <c r="Z73" s="34"/>
      <c r="AA73" s="31"/>
      <c r="AB73" s="32"/>
      <c r="AC73" s="33"/>
      <c r="AD73" s="33"/>
      <c r="AE73" s="34"/>
      <c r="AF73" s="34"/>
      <c r="AG73" s="34"/>
      <c r="AH73" s="34"/>
      <c r="AI73" s="31"/>
      <c r="AJ73" s="32"/>
      <c r="AK73" s="33"/>
      <c r="AL73" s="33"/>
      <c r="AM73" s="34"/>
      <c r="AN73" s="34"/>
      <c r="AO73" s="34"/>
      <c r="AP73" s="34"/>
      <c r="AQ73" s="31"/>
      <c r="AR73" s="32"/>
      <c r="AS73" s="33"/>
      <c r="AT73" s="33"/>
      <c r="AU73" s="34"/>
      <c r="AV73" s="34"/>
      <c r="AW73" s="34"/>
      <c r="AX73" s="34"/>
      <c r="AY73" s="31"/>
      <c r="AZ73" s="32"/>
      <c r="BA73" s="33"/>
      <c r="BB73" s="33"/>
      <c r="BC73" s="34"/>
      <c r="BD73" s="34"/>
      <c r="BE73" s="34"/>
      <c r="BF73" s="34"/>
      <c r="BG73" s="31"/>
      <c r="BH73" s="32"/>
      <c r="BI73" s="33"/>
      <c r="BJ73" s="33"/>
      <c r="BK73" s="34"/>
      <c r="BL73" s="34"/>
      <c r="BM73" s="34"/>
      <c r="BN73" s="34"/>
      <c r="BO73" s="31"/>
      <c r="BP73" s="32"/>
      <c r="BQ73" s="33"/>
      <c r="BR73" s="33"/>
      <c r="BS73" s="34"/>
      <c r="BT73" s="34"/>
      <c r="BU73" s="34"/>
      <c r="BV73" s="34"/>
      <c r="BW73" s="31"/>
      <c r="BX73" s="32"/>
      <c r="BY73" s="33"/>
      <c r="BZ73" s="33"/>
      <c r="CA73" s="34"/>
      <c r="CB73" s="34"/>
      <c r="CC73" s="34"/>
      <c r="CD73" s="34"/>
      <c r="CE73" s="31"/>
      <c r="CF73" s="32"/>
      <c r="CG73" s="33"/>
      <c r="CH73" s="33"/>
      <c r="CI73" s="34"/>
      <c r="CJ73" s="34"/>
      <c r="CK73" s="34"/>
      <c r="CL73" s="34"/>
      <c r="CM73" s="31"/>
      <c r="CN73" s="32"/>
      <c r="CO73" s="33"/>
      <c r="CP73" s="33"/>
      <c r="CQ73" s="34"/>
      <c r="CR73" s="34"/>
      <c r="CS73" s="34"/>
      <c r="CT73" s="34"/>
      <c r="CU73" s="31"/>
      <c r="CV73" s="32"/>
      <c r="CW73" s="33"/>
      <c r="CX73" s="33"/>
      <c r="CY73" s="34"/>
      <c r="CZ73" s="34"/>
      <c r="DA73" s="34"/>
      <c r="DB73" s="34"/>
      <c r="DC73" s="31"/>
      <c r="DD73" s="32"/>
      <c r="DE73" s="33"/>
      <c r="DF73" s="33"/>
      <c r="DG73" s="34"/>
      <c r="DH73" s="34"/>
      <c r="DI73" s="34"/>
      <c r="DJ73" s="34"/>
      <c r="DK73" s="31"/>
      <c r="DL73" s="32"/>
      <c r="DM73" s="33"/>
      <c r="DN73" s="33"/>
      <c r="DO73" s="34"/>
      <c r="DP73" s="34"/>
      <c r="DQ73" s="34"/>
      <c r="DR73" s="34"/>
      <c r="DS73" s="31"/>
      <c r="DT73" s="32"/>
      <c r="DU73" s="33"/>
      <c r="DV73" s="33"/>
      <c r="DW73" s="34"/>
      <c r="DX73" s="34"/>
      <c r="DY73" s="34"/>
      <c r="DZ73" s="34"/>
      <c r="EA73" s="31"/>
      <c r="EB73" s="32"/>
      <c r="EC73" s="33"/>
      <c r="ED73" s="33"/>
      <c r="EE73" s="34"/>
      <c r="EF73" s="34"/>
      <c r="EG73" s="34"/>
      <c r="EH73" s="34"/>
      <c r="EI73" s="31"/>
      <c r="EJ73" s="32"/>
      <c r="EK73" s="33"/>
      <c r="EL73" s="33"/>
      <c r="EM73" s="34"/>
      <c r="EN73" s="34"/>
      <c r="EO73" s="34"/>
      <c r="EP73" s="34"/>
      <c r="EQ73" s="31"/>
      <c r="ER73" s="32"/>
      <c r="ES73" s="33"/>
      <c r="ET73" s="33"/>
      <c r="EU73" s="34"/>
      <c r="EV73" s="34"/>
      <c r="EW73" s="34"/>
      <c r="EX73" s="34"/>
      <c r="EY73" s="31"/>
      <c r="EZ73" s="32"/>
      <c r="FA73" s="33"/>
      <c r="FB73" s="33"/>
      <c r="FC73" s="34"/>
      <c r="FD73" s="34"/>
      <c r="FE73" s="34"/>
      <c r="FF73" s="34"/>
      <c r="FG73" s="31"/>
      <c r="FH73" s="32"/>
      <c r="FI73" s="33"/>
      <c r="FJ73" s="33"/>
      <c r="FK73" s="34"/>
      <c r="FL73" s="34"/>
      <c r="FM73" s="34"/>
      <c r="FN73" s="34"/>
      <c r="FO73" s="31"/>
      <c r="FP73" s="32"/>
      <c r="FQ73" s="33"/>
      <c r="FR73" s="33"/>
      <c r="FS73" s="34"/>
      <c r="FT73" s="34"/>
      <c r="FU73" s="34"/>
      <c r="FV73" s="34"/>
      <c r="FW73" s="31"/>
      <c r="FX73" s="32"/>
      <c r="FY73" s="33"/>
      <c r="FZ73" s="33"/>
      <c r="GA73" s="34"/>
      <c r="GB73" s="34"/>
      <c r="GC73" s="34"/>
      <c r="GD73" s="34"/>
      <c r="GE73" s="31"/>
      <c r="GF73" s="32"/>
      <c r="GG73" s="33"/>
      <c r="GH73" s="33"/>
      <c r="GI73" s="34"/>
      <c r="GJ73" s="34"/>
      <c r="GK73" s="34"/>
      <c r="GL73" s="34"/>
      <c r="GM73" s="31"/>
      <c r="GN73" s="32"/>
      <c r="GO73" s="33"/>
      <c r="GP73" s="33"/>
      <c r="GQ73" s="34"/>
      <c r="GR73" s="34"/>
      <c r="GS73" s="34"/>
      <c r="GT73" s="34"/>
      <c r="GU73" s="31"/>
      <c r="GV73" s="32"/>
      <c r="GW73" s="33"/>
      <c r="GX73" s="33"/>
      <c r="GY73" s="34"/>
      <c r="GZ73" s="34"/>
      <c r="HA73" s="34"/>
      <c r="HB73" s="34"/>
      <c r="HC73" s="31"/>
      <c r="HD73" s="32"/>
      <c r="HE73" s="33"/>
      <c r="HF73" s="33"/>
      <c r="HG73" s="34"/>
      <c r="HH73" s="34"/>
      <c r="HI73" s="34"/>
      <c r="HJ73" s="34"/>
      <c r="HK73" s="31"/>
      <c r="HL73" s="32"/>
      <c r="HM73" s="33"/>
      <c r="HN73" s="33"/>
      <c r="HO73" s="34"/>
      <c r="HP73" s="34"/>
      <c r="HQ73" s="34"/>
      <c r="HR73" s="34"/>
      <c r="HS73" s="31"/>
      <c r="HT73" s="32"/>
      <c r="HU73" s="33"/>
      <c r="HV73" s="33"/>
      <c r="HW73" s="34"/>
      <c r="HX73" s="34"/>
      <c r="HY73" s="34"/>
      <c r="HZ73" s="34"/>
      <c r="IA73" s="31"/>
      <c r="IB73" s="32"/>
      <c r="IC73" s="33"/>
      <c r="ID73" s="33"/>
      <c r="IE73" s="34"/>
      <c r="IF73" s="34"/>
      <c r="IG73" s="34"/>
      <c r="IH73" s="34"/>
      <c r="II73" s="31"/>
      <c r="IJ73" s="32"/>
      <c r="IK73" s="33"/>
      <c r="IL73" s="33"/>
      <c r="IM73" s="34"/>
      <c r="IN73" s="34"/>
      <c r="IO73" s="34"/>
      <c r="IP73" s="34"/>
      <c r="IQ73" s="31"/>
      <c r="IR73" s="32"/>
      <c r="IS73" s="33"/>
      <c r="IT73" s="33"/>
      <c r="IU73" s="34"/>
    </row>
    <row r="74" spans="1:255" s="35" customFormat="1" ht="24.75" customHeight="1">
      <c r="A74" s="22"/>
      <c r="B74" s="80" t="s">
        <v>220</v>
      </c>
      <c r="C74" s="81"/>
      <c r="D74" s="82"/>
      <c r="E74" s="77"/>
      <c r="F74" s="77"/>
      <c r="G74" s="83">
        <f>G64+G71+G72+G73+G66+G67+G68+G69+G70</f>
        <v>2154.2485</v>
      </c>
      <c r="H74" s="83">
        <f>H64+H66+H67+H68+H69+H70+H71+H72+H73+0.01</f>
        <v>2153.8535</v>
      </c>
      <c r="I74" s="104"/>
      <c r="J74" s="18"/>
      <c r="K74" s="66"/>
      <c r="M74" s="33"/>
      <c r="N74" s="33"/>
      <c r="O74" s="34"/>
      <c r="P74" s="34"/>
      <c r="Q74" s="34"/>
      <c r="R74" s="34"/>
      <c r="S74" s="31"/>
      <c r="U74" s="33"/>
      <c r="V74" s="33"/>
      <c r="W74" s="34"/>
      <c r="X74" s="34"/>
      <c r="Y74" s="34"/>
      <c r="Z74" s="34"/>
      <c r="AA74" s="31"/>
      <c r="AC74" s="33"/>
      <c r="AD74" s="33"/>
      <c r="AE74" s="34"/>
      <c r="AF74" s="34"/>
      <c r="AG74" s="34"/>
      <c r="AH74" s="34"/>
      <c r="AI74" s="31"/>
      <c r="AK74" s="33"/>
      <c r="AL74" s="33"/>
      <c r="AM74" s="34"/>
      <c r="AN74" s="34"/>
      <c r="AO74" s="34"/>
      <c r="AP74" s="34"/>
      <c r="AQ74" s="31"/>
      <c r="AS74" s="33"/>
      <c r="AT74" s="33"/>
      <c r="AU74" s="34"/>
      <c r="AV74" s="34"/>
      <c r="AW74" s="34"/>
      <c r="AX74" s="34"/>
      <c r="AY74" s="31"/>
      <c r="BA74" s="33"/>
      <c r="BB74" s="33"/>
      <c r="BC74" s="34"/>
      <c r="BD74" s="34"/>
      <c r="BE74" s="34"/>
      <c r="BF74" s="34"/>
      <c r="BG74" s="31"/>
      <c r="BI74" s="33"/>
      <c r="BJ74" s="33"/>
      <c r="BK74" s="34"/>
      <c r="BL74" s="34"/>
      <c r="BM74" s="34"/>
      <c r="BN74" s="34"/>
      <c r="BO74" s="31"/>
      <c r="BQ74" s="33"/>
      <c r="BR74" s="33"/>
      <c r="BS74" s="34"/>
      <c r="BT74" s="34"/>
      <c r="BU74" s="34"/>
      <c r="BV74" s="34"/>
      <c r="BW74" s="31"/>
      <c r="BY74" s="33"/>
      <c r="BZ74" s="33"/>
      <c r="CA74" s="34"/>
      <c r="CB74" s="34"/>
      <c r="CC74" s="34"/>
      <c r="CD74" s="34"/>
      <c r="CE74" s="31"/>
      <c r="CG74" s="33"/>
      <c r="CH74" s="33"/>
      <c r="CI74" s="34"/>
      <c r="CJ74" s="34"/>
      <c r="CK74" s="34"/>
      <c r="CL74" s="34"/>
      <c r="CM74" s="31"/>
      <c r="CO74" s="33"/>
      <c r="CP74" s="33"/>
      <c r="CQ74" s="34"/>
      <c r="CR74" s="34"/>
      <c r="CS74" s="34"/>
      <c r="CT74" s="34"/>
      <c r="CU74" s="31"/>
      <c r="CW74" s="33"/>
      <c r="CX74" s="33"/>
      <c r="CY74" s="34"/>
      <c r="CZ74" s="34"/>
      <c r="DA74" s="34"/>
      <c r="DB74" s="34"/>
      <c r="DC74" s="31"/>
      <c r="DE74" s="33"/>
      <c r="DF74" s="33"/>
      <c r="DG74" s="34"/>
      <c r="DH74" s="34"/>
      <c r="DI74" s="34"/>
      <c r="DJ74" s="34"/>
      <c r="DK74" s="31"/>
      <c r="DM74" s="33"/>
      <c r="DN74" s="33"/>
      <c r="DO74" s="34"/>
      <c r="DP74" s="34"/>
      <c r="DQ74" s="34"/>
      <c r="DR74" s="34"/>
      <c r="DS74" s="31"/>
      <c r="DU74" s="33"/>
      <c r="DV74" s="33"/>
      <c r="DW74" s="34"/>
      <c r="DX74" s="34"/>
      <c r="DY74" s="34"/>
      <c r="DZ74" s="34"/>
      <c r="EA74" s="31"/>
      <c r="EC74" s="33"/>
      <c r="ED74" s="33"/>
      <c r="EE74" s="34"/>
      <c r="EF74" s="34"/>
      <c r="EG74" s="34"/>
      <c r="EH74" s="34"/>
      <c r="EI74" s="31"/>
      <c r="EK74" s="33"/>
      <c r="EL74" s="33"/>
      <c r="EM74" s="34"/>
      <c r="EN74" s="34"/>
      <c r="EO74" s="34"/>
      <c r="EP74" s="34"/>
      <c r="EQ74" s="31"/>
      <c r="ES74" s="33"/>
      <c r="ET74" s="33"/>
      <c r="EU74" s="34"/>
      <c r="EV74" s="34"/>
      <c r="EW74" s="34"/>
      <c r="EX74" s="34"/>
      <c r="EY74" s="31"/>
      <c r="FA74" s="33"/>
      <c r="FB74" s="33"/>
      <c r="FC74" s="34"/>
      <c r="FD74" s="34"/>
      <c r="FE74" s="34"/>
      <c r="FF74" s="34"/>
      <c r="FG74" s="31"/>
      <c r="FI74" s="33"/>
      <c r="FJ74" s="33"/>
      <c r="FK74" s="34"/>
      <c r="FL74" s="34"/>
      <c r="FM74" s="34"/>
      <c r="FN74" s="34"/>
      <c r="FO74" s="31"/>
      <c r="FQ74" s="33"/>
      <c r="FR74" s="33"/>
      <c r="FS74" s="34"/>
      <c r="FT74" s="34"/>
      <c r="FU74" s="34"/>
      <c r="FV74" s="34"/>
      <c r="FW74" s="31"/>
      <c r="FY74" s="33"/>
      <c r="FZ74" s="33"/>
      <c r="GA74" s="34"/>
      <c r="GB74" s="34"/>
      <c r="GC74" s="34"/>
      <c r="GD74" s="34"/>
      <c r="GE74" s="31"/>
      <c r="GG74" s="33"/>
      <c r="GH74" s="33"/>
      <c r="GI74" s="34"/>
      <c r="GJ74" s="34"/>
      <c r="GK74" s="34"/>
      <c r="GL74" s="34"/>
      <c r="GM74" s="31"/>
      <c r="GO74" s="33"/>
      <c r="GP74" s="33"/>
      <c r="GQ74" s="34"/>
      <c r="GR74" s="34"/>
      <c r="GS74" s="34"/>
      <c r="GT74" s="34"/>
      <c r="GU74" s="31"/>
      <c r="GW74" s="33"/>
      <c r="GX74" s="33"/>
      <c r="GY74" s="34"/>
      <c r="GZ74" s="34"/>
      <c r="HA74" s="34"/>
      <c r="HB74" s="34"/>
      <c r="HC74" s="31"/>
      <c r="HE74" s="33"/>
      <c r="HF74" s="33"/>
      <c r="HG74" s="34"/>
      <c r="HH74" s="34"/>
      <c r="HI74" s="34"/>
      <c r="HJ74" s="34"/>
      <c r="HK74" s="31"/>
      <c r="HM74" s="33"/>
      <c r="HN74" s="33"/>
      <c r="HO74" s="34"/>
      <c r="HP74" s="34"/>
      <c r="HQ74" s="34"/>
      <c r="HR74" s="34"/>
      <c r="HS74" s="31"/>
      <c r="HU74" s="33"/>
      <c r="HV74" s="33"/>
      <c r="HW74" s="34"/>
      <c r="HX74" s="34"/>
      <c r="HY74" s="34"/>
      <c r="HZ74" s="34"/>
      <c r="IA74" s="31"/>
      <c r="IC74" s="33"/>
      <c r="ID74" s="33"/>
      <c r="IE74" s="34"/>
      <c r="IF74" s="34"/>
      <c r="IG74" s="34"/>
      <c r="IH74" s="34"/>
      <c r="II74" s="31"/>
      <c r="IK74" s="33"/>
      <c r="IL74" s="33"/>
      <c r="IM74" s="34"/>
      <c r="IN74" s="34"/>
      <c r="IO74" s="34"/>
      <c r="IP74" s="34"/>
      <c r="IQ74" s="31"/>
      <c r="IS74" s="33"/>
      <c r="IT74" s="33"/>
      <c r="IU74" s="34"/>
    </row>
    <row r="75" spans="1:10" ht="55.5" customHeight="1">
      <c r="A75" s="174"/>
      <c r="B75" s="174" t="s">
        <v>68</v>
      </c>
      <c r="C75" s="175"/>
      <c r="D75" s="175"/>
      <c r="E75" s="175"/>
      <c r="F75" s="175"/>
      <c r="G75" s="175"/>
      <c r="H75" s="34"/>
      <c r="I75" s="34"/>
      <c r="J75" s="21"/>
    </row>
    <row r="76" spans="1:10" ht="12.75">
      <c r="A76" s="22">
        <v>1</v>
      </c>
      <c r="B76" s="43"/>
      <c r="C76" s="25" t="s">
        <v>238</v>
      </c>
      <c r="D76" s="25" t="s">
        <v>122</v>
      </c>
      <c r="E76" s="24" t="s">
        <v>122</v>
      </c>
      <c r="F76" s="24" t="s">
        <v>122</v>
      </c>
      <c r="G76" s="24" t="s">
        <v>122</v>
      </c>
      <c r="H76" s="24"/>
      <c r="I76" s="24"/>
      <c r="J76" s="29" t="s">
        <v>239</v>
      </c>
    </row>
    <row r="77" spans="1:10" ht="12.75">
      <c r="A77" s="22"/>
      <c r="B77" s="43"/>
      <c r="C77" s="25"/>
      <c r="D77" s="25"/>
      <c r="E77" s="25"/>
      <c r="F77" s="25"/>
      <c r="G77" s="25"/>
      <c r="H77" s="25"/>
      <c r="I77" s="25"/>
      <c r="J77" s="38"/>
    </row>
    <row r="78" spans="1:10" ht="12.75" customHeight="1">
      <c r="A78" s="167"/>
      <c r="B78" s="167" t="s">
        <v>19</v>
      </c>
      <c r="C78" s="20"/>
      <c r="D78" s="20"/>
      <c r="E78" s="20"/>
      <c r="F78" s="20"/>
      <c r="G78" s="20"/>
      <c r="H78" s="20"/>
      <c r="I78" s="20"/>
      <c r="J78" s="21"/>
    </row>
    <row r="79" spans="1:10" ht="16.5" customHeight="1">
      <c r="A79" s="167"/>
      <c r="B79" s="167" t="s">
        <v>20</v>
      </c>
      <c r="C79" s="20"/>
      <c r="D79" s="20"/>
      <c r="E79" s="20"/>
      <c r="F79" s="20"/>
      <c r="G79" s="20"/>
      <c r="H79" s="20"/>
      <c r="I79" s="20"/>
      <c r="J79" s="21"/>
    </row>
    <row r="80" spans="1:10" ht="12.75">
      <c r="A80" s="23"/>
      <c r="B80" s="30" t="s">
        <v>85</v>
      </c>
      <c r="C80" s="23"/>
      <c r="D80" s="23"/>
      <c r="E80" s="25">
        <v>100203</v>
      </c>
      <c r="F80" s="25">
        <v>1310</v>
      </c>
      <c r="G80" s="25"/>
      <c r="H80" s="25"/>
      <c r="I80" s="25"/>
      <c r="J80" s="25" t="s">
        <v>51</v>
      </c>
    </row>
    <row r="81" spans="1:10" ht="12.75">
      <c r="A81" s="42">
        <v>1</v>
      </c>
      <c r="B81" s="44" t="s">
        <v>70</v>
      </c>
      <c r="C81" s="26" t="s">
        <v>71</v>
      </c>
      <c r="D81" s="26">
        <v>4000</v>
      </c>
      <c r="E81" s="25">
        <v>100203</v>
      </c>
      <c r="F81" s="25">
        <v>1310</v>
      </c>
      <c r="G81" s="25"/>
      <c r="H81" s="25"/>
      <c r="I81" s="25"/>
      <c r="J81" s="25" t="s">
        <v>51</v>
      </c>
    </row>
    <row r="82" spans="1:10" ht="12.75">
      <c r="A82" s="42">
        <v>2</v>
      </c>
      <c r="B82" s="23" t="s">
        <v>72</v>
      </c>
      <c r="C82" s="26" t="s">
        <v>73</v>
      </c>
      <c r="D82" s="26">
        <v>4000</v>
      </c>
      <c r="E82" s="25">
        <v>100203</v>
      </c>
      <c r="F82" s="25">
        <v>1310</v>
      </c>
      <c r="G82" s="25"/>
      <c r="H82" s="25"/>
      <c r="I82" s="25"/>
      <c r="J82" s="25" t="s">
        <v>51</v>
      </c>
    </row>
    <row r="83" spans="1:10" ht="12.75">
      <c r="A83" s="45">
        <v>3</v>
      </c>
      <c r="B83" s="27" t="s">
        <v>74</v>
      </c>
      <c r="C83" s="26" t="s">
        <v>73</v>
      </c>
      <c r="D83" s="26">
        <v>1000</v>
      </c>
      <c r="E83" s="25">
        <v>100203</v>
      </c>
      <c r="F83" s="25">
        <v>1310</v>
      </c>
      <c r="G83" s="25"/>
      <c r="H83" s="25"/>
      <c r="I83" s="25"/>
      <c r="J83" s="25" t="s">
        <v>51</v>
      </c>
    </row>
    <row r="84" spans="1:10" ht="12.75">
      <c r="A84" s="42">
        <v>4</v>
      </c>
      <c r="B84" s="23" t="s">
        <v>75</v>
      </c>
      <c r="C84" s="26" t="s">
        <v>71</v>
      </c>
      <c r="D84" s="26">
        <v>7000</v>
      </c>
      <c r="E84" s="25">
        <v>100203</v>
      </c>
      <c r="F84" s="25">
        <v>1310</v>
      </c>
      <c r="G84" s="25"/>
      <c r="H84" s="25"/>
      <c r="I84" s="25"/>
      <c r="J84" s="25" t="s">
        <v>51</v>
      </c>
    </row>
    <row r="85" spans="1:10" ht="12.75">
      <c r="A85" s="42">
        <v>5</v>
      </c>
      <c r="B85" s="23" t="s">
        <v>76</v>
      </c>
      <c r="C85" s="26" t="s">
        <v>71</v>
      </c>
      <c r="D85" s="26">
        <v>4000</v>
      </c>
      <c r="E85" s="25">
        <v>100203</v>
      </c>
      <c r="F85" s="25">
        <v>1310</v>
      </c>
      <c r="G85" s="25"/>
      <c r="H85" s="25"/>
      <c r="I85" s="25"/>
      <c r="J85" s="25" t="s">
        <v>51</v>
      </c>
    </row>
    <row r="86" spans="1:10" ht="12.75">
      <c r="A86" s="42">
        <v>6</v>
      </c>
      <c r="B86" s="23" t="s">
        <v>77</v>
      </c>
      <c r="C86" s="26" t="s">
        <v>71</v>
      </c>
      <c r="D86" s="26">
        <v>4000</v>
      </c>
      <c r="E86" s="25">
        <v>100203</v>
      </c>
      <c r="F86" s="25">
        <v>1310</v>
      </c>
      <c r="G86" s="25"/>
      <c r="H86" s="25"/>
      <c r="I86" s="25"/>
      <c r="J86" s="25" t="s">
        <v>51</v>
      </c>
    </row>
    <row r="87" spans="1:10" ht="12.75">
      <c r="A87" s="42">
        <v>8</v>
      </c>
      <c r="B87" s="23" t="s">
        <v>78</v>
      </c>
      <c r="C87" s="26" t="s">
        <v>71</v>
      </c>
      <c r="D87" s="26">
        <v>50</v>
      </c>
      <c r="E87" s="25">
        <v>100203</v>
      </c>
      <c r="F87" s="25">
        <v>1310</v>
      </c>
      <c r="G87" s="25"/>
      <c r="H87" s="25"/>
      <c r="I87" s="25"/>
      <c r="J87" s="25" t="s">
        <v>51</v>
      </c>
    </row>
    <row r="88" spans="1:10" ht="12.75">
      <c r="A88" s="42">
        <v>9</v>
      </c>
      <c r="B88" s="23" t="s">
        <v>79</v>
      </c>
      <c r="C88" s="26" t="s">
        <v>71</v>
      </c>
      <c r="D88" s="26">
        <v>4000</v>
      </c>
      <c r="E88" s="25">
        <v>100203</v>
      </c>
      <c r="F88" s="25">
        <v>1310</v>
      </c>
      <c r="G88" s="25"/>
      <c r="H88" s="25"/>
      <c r="I88" s="25"/>
      <c r="J88" s="25" t="s">
        <v>51</v>
      </c>
    </row>
    <row r="89" spans="1:10" ht="12.75">
      <c r="A89" s="26">
        <v>11</v>
      </c>
      <c r="B89" s="23" t="s">
        <v>81</v>
      </c>
      <c r="C89" s="26" t="s">
        <v>80</v>
      </c>
      <c r="D89" s="26">
        <v>5</v>
      </c>
      <c r="E89" s="25">
        <v>100203</v>
      </c>
      <c r="F89" s="25">
        <v>1310</v>
      </c>
      <c r="G89" s="25"/>
      <c r="H89" s="25"/>
      <c r="I89" s="25"/>
      <c r="J89" s="25" t="s">
        <v>51</v>
      </c>
    </row>
    <row r="90" spans="1:10" ht="25.5">
      <c r="A90" s="45">
        <v>12</v>
      </c>
      <c r="B90" s="27" t="s">
        <v>82</v>
      </c>
      <c r="C90" s="26" t="s">
        <v>61</v>
      </c>
      <c r="D90" s="26">
        <v>236</v>
      </c>
      <c r="E90" s="25">
        <v>100203</v>
      </c>
      <c r="F90" s="25">
        <v>1310</v>
      </c>
      <c r="G90" s="25"/>
      <c r="H90" s="25"/>
      <c r="I90" s="25"/>
      <c r="J90" s="25" t="s">
        <v>51</v>
      </c>
    </row>
    <row r="91" spans="1:10" ht="12.75">
      <c r="A91" s="26">
        <v>15</v>
      </c>
      <c r="B91" s="23" t="s">
        <v>83</v>
      </c>
      <c r="C91" s="26" t="s">
        <v>80</v>
      </c>
      <c r="D91" s="26">
        <v>266</v>
      </c>
      <c r="E91" s="25">
        <v>100203</v>
      </c>
      <c r="F91" s="25">
        <v>1310</v>
      </c>
      <c r="G91" s="25"/>
      <c r="H91" s="25"/>
      <c r="I91" s="25"/>
      <c r="J91" s="25" t="s">
        <v>51</v>
      </c>
    </row>
    <row r="92" spans="1:10" ht="12.75">
      <c r="A92" s="23"/>
      <c r="B92" s="29" t="s">
        <v>118</v>
      </c>
      <c r="C92" s="26"/>
      <c r="D92" s="26"/>
      <c r="E92" s="25">
        <v>100203</v>
      </c>
      <c r="F92" s="25">
        <v>1310</v>
      </c>
      <c r="G92" s="25"/>
      <c r="H92" s="25"/>
      <c r="I92" s="25"/>
      <c r="J92" s="25" t="s">
        <v>51</v>
      </c>
    </row>
    <row r="93" spans="1:10" ht="12.75">
      <c r="A93" s="42">
        <v>1</v>
      </c>
      <c r="B93" s="23" t="s">
        <v>86</v>
      </c>
      <c r="C93" s="26" t="s">
        <v>73</v>
      </c>
      <c r="D93" s="26">
        <v>2000</v>
      </c>
      <c r="E93" s="25">
        <v>100203</v>
      </c>
      <c r="F93" s="25">
        <v>1310</v>
      </c>
      <c r="G93" s="25"/>
      <c r="H93" s="25"/>
      <c r="I93" s="25"/>
      <c r="J93" s="25" t="s">
        <v>51</v>
      </c>
    </row>
    <row r="94" spans="1:10" ht="12.75">
      <c r="A94" s="26">
        <v>2</v>
      </c>
      <c r="B94" s="23" t="s">
        <v>87</v>
      </c>
      <c r="C94" s="26" t="s">
        <v>73</v>
      </c>
      <c r="D94" s="26">
        <v>4000</v>
      </c>
      <c r="E94" s="25">
        <v>100203</v>
      </c>
      <c r="F94" s="25">
        <v>1310</v>
      </c>
      <c r="G94" s="25"/>
      <c r="H94" s="25"/>
      <c r="I94" s="25"/>
      <c r="J94" s="25" t="s">
        <v>51</v>
      </c>
    </row>
    <row r="95" spans="1:10" ht="12.75">
      <c r="A95" s="45">
        <v>3</v>
      </c>
      <c r="B95" s="27" t="s">
        <v>88</v>
      </c>
      <c r="C95" s="26" t="s">
        <v>80</v>
      </c>
      <c r="D95" s="26">
        <v>67100</v>
      </c>
      <c r="E95" s="25">
        <v>100203</v>
      </c>
      <c r="F95" s="25">
        <v>1310</v>
      </c>
      <c r="G95" s="25"/>
      <c r="H95" s="25"/>
      <c r="I95" s="25"/>
      <c r="J95" s="25" t="s">
        <v>51</v>
      </c>
    </row>
    <row r="96" spans="1:10" ht="12.75">
      <c r="A96" s="26">
        <v>4</v>
      </c>
      <c r="B96" s="23" t="s">
        <v>89</v>
      </c>
      <c r="C96" s="26" t="s">
        <v>80</v>
      </c>
      <c r="D96" s="26">
        <v>80000</v>
      </c>
      <c r="E96" s="25">
        <v>100203</v>
      </c>
      <c r="F96" s="25">
        <v>1310</v>
      </c>
      <c r="G96" s="25"/>
      <c r="H96" s="25"/>
      <c r="I96" s="25"/>
      <c r="J96" s="25" t="s">
        <v>51</v>
      </c>
    </row>
    <row r="97" spans="1:10" ht="12.75">
      <c r="A97" s="26">
        <v>5</v>
      </c>
      <c r="B97" s="23" t="s">
        <v>90</v>
      </c>
      <c r="C97" s="26" t="s">
        <v>80</v>
      </c>
      <c r="D97" s="26">
        <v>50000</v>
      </c>
      <c r="E97" s="25">
        <v>100203</v>
      </c>
      <c r="F97" s="25">
        <v>1310</v>
      </c>
      <c r="G97" s="25"/>
      <c r="H97" s="25"/>
      <c r="I97" s="25"/>
      <c r="J97" s="25" t="s">
        <v>51</v>
      </c>
    </row>
    <row r="98" spans="1:10" ht="12.75">
      <c r="A98" s="26">
        <v>6</v>
      </c>
      <c r="B98" s="23" t="s">
        <v>91</v>
      </c>
      <c r="C98" s="26" t="s">
        <v>66</v>
      </c>
      <c r="D98" s="26">
        <v>19000</v>
      </c>
      <c r="E98" s="25">
        <v>100203</v>
      </c>
      <c r="F98" s="25">
        <v>1310</v>
      </c>
      <c r="G98" s="25"/>
      <c r="H98" s="25"/>
      <c r="I98" s="25"/>
      <c r="J98" s="25" t="s">
        <v>51</v>
      </c>
    </row>
    <row r="99" spans="1:10" ht="12.75">
      <c r="A99" s="26">
        <v>7</v>
      </c>
      <c r="B99" s="23" t="s">
        <v>92</v>
      </c>
      <c r="C99" s="26" t="s">
        <v>71</v>
      </c>
      <c r="D99" s="26">
        <v>80000</v>
      </c>
      <c r="E99" s="25">
        <v>100203</v>
      </c>
      <c r="F99" s="25">
        <v>1310</v>
      </c>
      <c r="G99" s="25"/>
      <c r="H99" s="25"/>
      <c r="I99" s="25"/>
      <c r="J99" s="25" t="s">
        <v>51</v>
      </c>
    </row>
    <row r="100" spans="1:10" ht="12.75">
      <c r="A100" s="45">
        <v>8</v>
      </c>
      <c r="B100" s="27" t="s">
        <v>93</v>
      </c>
      <c r="C100" s="26" t="s">
        <v>73</v>
      </c>
      <c r="D100" s="26">
        <v>23700</v>
      </c>
      <c r="E100" s="25">
        <v>100203</v>
      </c>
      <c r="F100" s="25">
        <v>1310</v>
      </c>
      <c r="G100" s="25"/>
      <c r="H100" s="25"/>
      <c r="I100" s="25"/>
      <c r="J100" s="25" t="s">
        <v>51</v>
      </c>
    </row>
    <row r="101" spans="1:10" ht="25.5">
      <c r="A101" s="42">
        <v>10</v>
      </c>
      <c r="B101" s="27" t="s">
        <v>94</v>
      </c>
      <c r="C101" s="26" t="s">
        <v>66</v>
      </c>
      <c r="D101" s="26">
        <v>8268</v>
      </c>
      <c r="E101" s="25">
        <v>100203</v>
      </c>
      <c r="F101" s="25">
        <v>1310</v>
      </c>
      <c r="G101" s="25"/>
      <c r="H101" s="25"/>
      <c r="I101" s="25"/>
      <c r="J101" s="25" t="s">
        <v>51</v>
      </c>
    </row>
    <row r="102" spans="1:10" ht="25.5">
      <c r="A102" s="45">
        <v>11</v>
      </c>
      <c r="B102" s="27" t="s">
        <v>95</v>
      </c>
      <c r="C102" s="26" t="s">
        <v>66</v>
      </c>
      <c r="D102" s="26">
        <v>7500</v>
      </c>
      <c r="E102" s="25">
        <v>100203</v>
      </c>
      <c r="F102" s="25">
        <v>1310</v>
      </c>
      <c r="G102" s="25"/>
      <c r="H102" s="25"/>
      <c r="I102" s="25"/>
      <c r="J102" s="25" t="s">
        <v>51</v>
      </c>
    </row>
    <row r="103" spans="1:10" ht="12.75">
      <c r="A103" s="45">
        <v>12</v>
      </c>
      <c r="B103" s="27" t="s">
        <v>93</v>
      </c>
      <c r="C103" s="26" t="s">
        <v>73</v>
      </c>
      <c r="D103" s="26">
        <v>4813</v>
      </c>
      <c r="E103" s="25">
        <v>100203</v>
      </c>
      <c r="F103" s="25">
        <v>1310</v>
      </c>
      <c r="G103" s="25"/>
      <c r="H103" s="25"/>
      <c r="I103" s="25"/>
      <c r="J103" s="25" t="s">
        <v>51</v>
      </c>
    </row>
    <row r="104" spans="1:10" ht="25.5">
      <c r="A104" s="45">
        <v>13</v>
      </c>
      <c r="B104" s="27" t="s">
        <v>96</v>
      </c>
      <c r="C104" s="26" t="s">
        <v>84</v>
      </c>
      <c r="D104" s="26">
        <v>146</v>
      </c>
      <c r="E104" s="25">
        <v>100203</v>
      </c>
      <c r="F104" s="25">
        <v>1310</v>
      </c>
      <c r="G104" s="25"/>
      <c r="H104" s="25"/>
      <c r="I104" s="25"/>
      <c r="J104" s="25" t="s">
        <v>51</v>
      </c>
    </row>
    <row r="105" spans="1:10" ht="12.75">
      <c r="A105" s="23"/>
      <c r="B105" s="29" t="s">
        <v>97</v>
      </c>
      <c r="C105" s="26"/>
      <c r="D105" s="26"/>
      <c r="E105" s="25">
        <v>100203</v>
      </c>
      <c r="F105" s="25">
        <v>1310</v>
      </c>
      <c r="G105" s="25"/>
      <c r="H105" s="25"/>
      <c r="I105" s="25"/>
      <c r="J105" s="25" t="s">
        <v>51</v>
      </c>
    </row>
    <row r="106" spans="1:10" ht="12.75">
      <c r="A106" s="26">
        <v>1</v>
      </c>
      <c r="B106" s="23" t="s">
        <v>98</v>
      </c>
      <c r="C106" s="26" t="s">
        <v>73</v>
      </c>
      <c r="D106" s="26">
        <v>5762</v>
      </c>
      <c r="E106" s="25">
        <v>100203</v>
      </c>
      <c r="F106" s="25">
        <v>1310</v>
      </c>
      <c r="G106" s="25"/>
      <c r="H106" s="25"/>
      <c r="I106" s="25"/>
      <c r="J106" s="25" t="s">
        <v>51</v>
      </c>
    </row>
    <row r="107" spans="1:10" ht="12.75">
      <c r="A107" s="26">
        <v>2</v>
      </c>
      <c r="B107" s="23" t="s">
        <v>99</v>
      </c>
      <c r="C107" s="26" t="s">
        <v>53</v>
      </c>
      <c r="D107" s="26">
        <v>70</v>
      </c>
      <c r="E107" s="25">
        <v>100203</v>
      </c>
      <c r="F107" s="25">
        <v>1310</v>
      </c>
      <c r="G107" s="25"/>
      <c r="H107" s="25"/>
      <c r="I107" s="25"/>
      <c r="J107" s="25" t="s">
        <v>51</v>
      </c>
    </row>
    <row r="108" spans="1:10" ht="25.5">
      <c r="A108" s="45">
        <v>3</v>
      </c>
      <c r="B108" s="27" t="s">
        <v>100</v>
      </c>
      <c r="C108" s="26" t="s">
        <v>53</v>
      </c>
      <c r="D108" s="26">
        <v>80</v>
      </c>
      <c r="E108" s="25">
        <v>100203</v>
      </c>
      <c r="F108" s="25">
        <v>1310</v>
      </c>
      <c r="G108" s="25"/>
      <c r="H108" s="25"/>
      <c r="I108" s="25"/>
      <c r="J108" s="25" t="s">
        <v>51</v>
      </c>
    </row>
    <row r="109" spans="1:10" ht="12.75">
      <c r="A109" s="26">
        <v>4</v>
      </c>
      <c r="B109" s="23" t="s">
        <v>101</v>
      </c>
      <c r="C109" s="26" t="s">
        <v>53</v>
      </c>
      <c r="D109" s="26">
        <v>20</v>
      </c>
      <c r="E109" s="25">
        <v>100203</v>
      </c>
      <c r="F109" s="25">
        <v>1310</v>
      </c>
      <c r="G109" s="25"/>
      <c r="H109" s="25"/>
      <c r="I109" s="25"/>
      <c r="J109" s="25" t="s">
        <v>51</v>
      </c>
    </row>
    <row r="110" spans="1:10" ht="12.75">
      <c r="A110" s="26">
        <v>5</v>
      </c>
      <c r="B110" s="23" t="s">
        <v>102</v>
      </c>
      <c r="C110" s="26" t="s">
        <v>66</v>
      </c>
      <c r="D110" s="26">
        <v>3500</v>
      </c>
      <c r="E110" s="25">
        <v>100203</v>
      </c>
      <c r="F110" s="25">
        <v>1310</v>
      </c>
      <c r="G110" s="25"/>
      <c r="H110" s="25"/>
      <c r="I110" s="25"/>
      <c r="J110" s="25" t="s">
        <v>51</v>
      </c>
    </row>
    <row r="111" spans="1:10" ht="25.5">
      <c r="A111" s="45">
        <v>6</v>
      </c>
      <c r="B111" s="27" t="s">
        <v>103</v>
      </c>
      <c r="C111" s="26" t="s">
        <v>73</v>
      </c>
      <c r="D111" s="26">
        <v>1000</v>
      </c>
      <c r="E111" s="25">
        <v>100203</v>
      </c>
      <c r="F111" s="25">
        <v>1310</v>
      </c>
      <c r="G111" s="25"/>
      <c r="H111" s="25"/>
      <c r="I111" s="25"/>
      <c r="J111" s="25" t="s">
        <v>51</v>
      </c>
    </row>
    <row r="112" spans="1:10" ht="12.75">
      <c r="A112" s="45">
        <v>7</v>
      </c>
      <c r="B112" s="27" t="s">
        <v>104</v>
      </c>
      <c r="C112" s="26" t="s">
        <v>105</v>
      </c>
      <c r="D112" s="26">
        <v>100</v>
      </c>
      <c r="E112" s="25">
        <v>100203</v>
      </c>
      <c r="F112" s="25">
        <v>1310</v>
      </c>
      <c r="G112" s="25"/>
      <c r="H112" s="25"/>
      <c r="I112" s="25"/>
      <c r="J112" s="25" t="s">
        <v>51</v>
      </c>
    </row>
    <row r="113" spans="1:10" ht="12.75">
      <c r="A113" s="26">
        <v>8</v>
      </c>
      <c r="B113" s="27" t="s">
        <v>106</v>
      </c>
      <c r="C113" s="26" t="s">
        <v>105</v>
      </c>
      <c r="D113" s="26">
        <v>15</v>
      </c>
      <c r="E113" s="25">
        <v>100203</v>
      </c>
      <c r="F113" s="25">
        <v>1310</v>
      </c>
      <c r="G113" s="25"/>
      <c r="H113" s="25"/>
      <c r="I113" s="25"/>
      <c r="J113" s="25" t="s">
        <v>51</v>
      </c>
    </row>
    <row r="114" spans="1:10" ht="12.75">
      <c r="A114" s="26">
        <v>9</v>
      </c>
      <c r="B114" s="23" t="s">
        <v>107</v>
      </c>
      <c r="C114" s="26" t="s">
        <v>80</v>
      </c>
      <c r="D114" s="26">
        <v>1000</v>
      </c>
      <c r="E114" s="25">
        <v>100203</v>
      </c>
      <c r="F114" s="25">
        <v>1310</v>
      </c>
      <c r="G114" s="25"/>
      <c r="H114" s="25"/>
      <c r="I114" s="25"/>
      <c r="J114" s="25" t="s">
        <v>51</v>
      </c>
    </row>
    <row r="115" spans="1:10" ht="12.75">
      <c r="A115" s="26">
        <v>11</v>
      </c>
      <c r="B115" s="23" t="s">
        <v>108</v>
      </c>
      <c r="C115" s="26" t="s">
        <v>84</v>
      </c>
      <c r="D115" s="26">
        <v>144</v>
      </c>
      <c r="E115" s="25">
        <v>100203</v>
      </c>
      <c r="F115" s="25">
        <v>1310</v>
      </c>
      <c r="G115" s="25"/>
      <c r="H115" s="25"/>
      <c r="I115" s="25"/>
      <c r="J115" s="25" t="s">
        <v>51</v>
      </c>
    </row>
    <row r="116" spans="1:10" ht="12.75">
      <c r="A116" s="26">
        <v>13</v>
      </c>
      <c r="B116" s="23" t="s">
        <v>109</v>
      </c>
      <c r="C116" s="26" t="s">
        <v>73</v>
      </c>
      <c r="D116" s="26">
        <v>2738</v>
      </c>
      <c r="E116" s="25">
        <v>100203</v>
      </c>
      <c r="F116" s="25">
        <v>1310</v>
      </c>
      <c r="G116" s="25"/>
      <c r="H116" s="25"/>
      <c r="I116" s="25"/>
      <c r="J116" s="25" t="s">
        <v>51</v>
      </c>
    </row>
    <row r="117" spans="1:10" ht="12.75">
      <c r="A117" s="26">
        <v>15</v>
      </c>
      <c r="B117" s="23" t="s">
        <v>110</v>
      </c>
      <c r="C117" s="26" t="s">
        <v>61</v>
      </c>
      <c r="D117" s="26">
        <v>24</v>
      </c>
      <c r="E117" s="25">
        <v>100203</v>
      </c>
      <c r="F117" s="25">
        <v>1310</v>
      </c>
      <c r="G117" s="25"/>
      <c r="H117" s="25"/>
      <c r="I117" s="25"/>
      <c r="J117" s="25" t="s">
        <v>51</v>
      </c>
    </row>
    <row r="118" spans="1:10" ht="12.75">
      <c r="A118" s="23"/>
      <c r="B118" s="29" t="s">
        <v>111</v>
      </c>
      <c r="C118" s="26"/>
      <c r="D118" s="26"/>
      <c r="E118" s="25">
        <v>100203</v>
      </c>
      <c r="F118" s="25">
        <v>1310</v>
      </c>
      <c r="G118" s="25"/>
      <c r="H118" s="25"/>
      <c r="I118" s="25"/>
      <c r="J118" s="25" t="s">
        <v>51</v>
      </c>
    </row>
    <row r="119" spans="1:10" ht="12.75">
      <c r="A119" s="26">
        <v>1</v>
      </c>
      <c r="B119" s="23" t="s">
        <v>112</v>
      </c>
      <c r="C119" s="26" t="s">
        <v>53</v>
      </c>
      <c r="D119" s="46">
        <v>700</v>
      </c>
      <c r="E119" s="25">
        <v>100203</v>
      </c>
      <c r="F119" s="25">
        <v>1310</v>
      </c>
      <c r="G119" s="25"/>
      <c r="H119" s="25"/>
      <c r="I119" s="25"/>
      <c r="J119" s="25" t="s">
        <v>51</v>
      </c>
    </row>
    <row r="120" spans="1:10" ht="12.75">
      <c r="A120" s="26">
        <v>5</v>
      </c>
      <c r="B120" s="23" t="s">
        <v>113</v>
      </c>
      <c r="C120" s="26" t="s">
        <v>61</v>
      </c>
      <c r="D120" s="26">
        <v>4</v>
      </c>
      <c r="E120" s="25">
        <v>100203</v>
      </c>
      <c r="F120" s="25">
        <v>1310</v>
      </c>
      <c r="G120" s="25"/>
      <c r="H120" s="25"/>
      <c r="I120" s="25"/>
      <c r="J120" s="25" t="s">
        <v>51</v>
      </c>
    </row>
    <row r="121" spans="1:10" ht="12.75">
      <c r="A121" s="26">
        <v>6</v>
      </c>
      <c r="B121" s="23" t="s">
        <v>114</v>
      </c>
      <c r="C121" s="26" t="s">
        <v>61</v>
      </c>
      <c r="D121" s="46">
        <f>388/5</f>
        <v>77.6</v>
      </c>
      <c r="E121" s="25">
        <v>100203</v>
      </c>
      <c r="F121" s="25">
        <v>1310</v>
      </c>
      <c r="G121" s="25"/>
      <c r="H121" s="25"/>
      <c r="I121" s="25"/>
      <c r="J121" s="25" t="s">
        <v>51</v>
      </c>
    </row>
    <row r="122" spans="1:10" ht="12.75">
      <c r="A122" s="26">
        <v>7</v>
      </c>
      <c r="B122" s="23" t="s">
        <v>115</v>
      </c>
      <c r="C122" s="26" t="s">
        <v>61</v>
      </c>
      <c r="D122" s="26">
        <v>40</v>
      </c>
      <c r="E122" s="25">
        <v>100203</v>
      </c>
      <c r="F122" s="25">
        <v>1310</v>
      </c>
      <c r="G122" s="25"/>
      <c r="H122" s="25"/>
      <c r="I122" s="25"/>
      <c r="J122" s="25" t="s">
        <v>51</v>
      </c>
    </row>
    <row r="123" spans="1:10" ht="12.75">
      <c r="A123" s="26">
        <v>8</v>
      </c>
      <c r="B123" s="23" t="s">
        <v>116</v>
      </c>
      <c r="C123" s="26" t="s">
        <v>61</v>
      </c>
      <c r="D123" s="26">
        <v>248</v>
      </c>
      <c r="E123" s="25">
        <v>100203</v>
      </c>
      <c r="F123" s="25">
        <v>1310</v>
      </c>
      <c r="G123" s="25"/>
      <c r="H123" s="25"/>
      <c r="I123" s="25"/>
      <c r="J123" s="25" t="s">
        <v>51</v>
      </c>
    </row>
    <row r="124" spans="1:10" ht="12.75">
      <c r="A124" s="26">
        <v>9</v>
      </c>
      <c r="B124" s="23" t="s">
        <v>117</v>
      </c>
      <c r="C124" s="26" t="s">
        <v>61</v>
      </c>
      <c r="D124" s="26">
        <v>167</v>
      </c>
      <c r="E124" s="25">
        <v>100203</v>
      </c>
      <c r="F124" s="25">
        <v>1310</v>
      </c>
      <c r="G124" s="25"/>
      <c r="H124" s="25"/>
      <c r="I124" s="25"/>
      <c r="J124" s="25" t="s">
        <v>51</v>
      </c>
    </row>
    <row r="125" spans="1:10" ht="12.75">
      <c r="A125" s="26"/>
      <c r="B125" s="47" t="s">
        <v>260</v>
      </c>
      <c r="C125" s="26"/>
      <c r="D125" s="26"/>
      <c r="E125" s="25">
        <v>100203</v>
      </c>
      <c r="F125" s="25">
        <v>1310</v>
      </c>
      <c r="G125" s="36">
        <f>810.21+5-1.99</f>
        <v>813.22</v>
      </c>
      <c r="H125" s="36">
        <f>1500.38*0.54-1.34-0.001</f>
        <v>808.8642000000001</v>
      </c>
      <c r="I125" s="164"/>
      <c r="J125" s="25"/>
    </row>
    <row r="126" spans="1:10" ht="14.25" customHeight="1">
      <c r="A126" s="24"/>
      <c r="B126" s="93" t="s">
        <v>406</v>
      </c>
      <c r="C126" s="94"/>
      <c r="D126" s="94"/>
      <c r="E126" s="18">
        <v>100203</v>
      </c>
      <c r="F126" s="18">
        <v>1310</v>
      </c>
      <c r="G126" s="92">
        <f>G127+G128+G129+G130+G131+G132+G133</f>
        <v>97.926</v>
      </c>
      <c r="H126" s="92">
        <f>H127+H128+H129+H130+H131+H132+H133</f>
        <v>97.926</v>
      </c>
      <c r="I126" s="165" t="s">
        <v>374</v>
      </c>
      <c r="J126" s="24" t="s">
        <v>69</v>
      </c>
    </row>
    <row r="127" spans="1:10" ht="12.75">
      <c r="A127" s="24"/>
      <c r="B127" s="23" t="s">
        <v>243</v>
      </c>
      <c r="C127" s="26" t="s">
        <v>242</v>
      </c>
      <c r="D127" s="24">
        <v>759.7</v>
      </c>
      <c r="E127" s="25">
        <v>100203</v>
      </c>
      <c r="F127" s="25">
        <v>1310</v>
      </c>
      <c r="G127" s="58">
        <f>6489/1000</f>
        <v>6.489</v>
      </c>
      <c r="H127" s="58">
        <f>6489/1000</f>
        <v>6.489</v>
      </c>
      <c r="I127" s="165" t="s">
        <v>374</v>
      </c>
      <c r="J127" s="24" t="s">
        <v>245</v>
      </c>
    </row>
    <row r="128" spans="1:10" ht="12.75">
      <c r="A128" s="24"/>
      <c r="B128" s="23" t="s">
        <v>244</v>
      </c>
      <c r="C128" s="26" t="s">
        <v>53</v>
      </c>
      <c r="D128" s="26">
        <f>8.34</f>
        <v>8.34</v>
      </c>
      <c r="E128" s="25">
        <v>100203</v>
      </c>
      <c r="F128" s="25">
        <v>1310</v>
      </c>
      <c r="G128" s="58">
        <f>2611/1000</f>
        <v>2.611</v>
      </c>
      <c r="H128" s="58">
        <f>2611/1000</f>
        <v>2.611</v>
      </c>
      <c r="I128" s="165" t="s">
        <v>374</v>
      </c>
      <c r="J128" s="24" t="s">
        <v>285</v>
      </c>
    </row>
    <row r="129" spans="1:10" ht="12.75">
      <c r="A129" s="24"/>
      <c r="B129" s="23" t="s">
        <v>246</v>
      </c>
      <c r="C129" s="26" t="s">
        <v>53</v>
      </c>
      <c r="D129" s="24">
        <f>2500/100</f>
        <v>25</v>
      </c>
      <c r="E129" s="25">
        <v>100203</v>
      </c>
      <c r="F129" s="25">
        <v>1310</v>
      </c>
      <c r="G129" s="58">
        <f>5614/1000</f>
        <v>5.614</v>
      </c>
      <c r="H129" s="58">
        <f>5614/1000</f>
        <v>5.614</v>
      </c>
      <c r="I129" s="165" t="s">
        <v>374</v>
      </c>
      <c r="J129" s="24" t="s">
        <v>247</v>
      </c>
    </row>
    <row r="130" spans="1:10" ht="12.75">
      <c r="A130" s="24"/>
      <c r="B130" s="23" t="s">
        <v>248</v>
      </c>
      <c r="C130" s="26" t="s">
        <v>80</v>
      </c>
      <c r="D130" s="24">
        <v>6775</v>
      </c>
      <c r="E130" s="25">
        <v>100203</v>
      </c>
      <c r="F130" s="25">
        <v>1310</v>
      </c>
      <c r="G130" s="58">
        <f>36556/1000</f>
        <v>36.556</v>
      </c>
      <c r="H130" s="58">
        <f>36556/1000</f>
        <v>36.556</v>
      </c>
      <c r="I130" s="165" t="s">
        <v>374</v>
      </c>
      <c r="J130" s="24" t="s">
        <v>284</v>
      </c>
    </row>
    <row r="131" spans="1:10" ht="12.75">
      <c r="A131" s="24"/>
      <c r="B131" s="23" t="s">
        <v>249</v>
      </c>
      <c r="C131" s="26" t="s">
        <v>80</v>
      </c>
      <c r="D131" s="24">
        <v>166</v>
      </c>
      <c r="E131" s="25">
        <v>100203</v>
      </c>
      <c r="F131" s="25">
        <v>1310</v>
      </c>
      <c r="G131" s="58">
        <f>10877/1000</f>
        <v>10.877</v>
      </c>
      <c r="H131" s="58">
        <f>10877/1000</f>
        <v>10.877</v>
      </c>
      <c r="I131" s="165" t="s">
        <v>374</v>
      </c>
      <c r="J131" s="24" t="s">
        <v>250</v>
      </c>
    </row>
    <row r="132" spans="1:10" ht="12.75">
      <c r="A132" s="24"/>
      <c r="B132" s="23" t="s">
        <v>252</v>
      </c>
      <c r="C132" s="26" t="s">
        <v>80</v>
      </c>
      <c r="D132" s="24">
        <v>282</v>
      </c>
      <c r="E132" s="25">
        <v>100203</v>
      </c>
      <c r="F132" s="25">
        <v>1310</v>
      </c>
      <c r="G132" s="58">
        <f>2708/1000</f>
        <v>2.708</v>
      </c>
      <c r="H132" s="58">
        <f>2708/1000</f>
        <v>2.708</v>
      </c>
      <c r="I132" s="165" t="s">
        <v>374</v>
      </c>
      <c r="J132" s="24" t="s">
        <v>255</v>
      </c>
    </row>
    <row r="133" spans="1:10" ht="12.75">
      <c r="A133" s="24"/>
      <c r="B133" s="23" t="s">
        <v>253</v>
      </c>
      <c r="C133" s="26" t="s">
        <v>254</v>
      </c>
      <c r="D133" s="24">
        <v>3000</v>
      </c>
      <c r="E133" s="25">
        <v>100203</v>
      </c>
      <c r="F133" s="25">
        <v>1310</v>
      </c>
      <c r="G133" s="58">
        <f>33071/1000</f>
        <v>33.071</v>
      </c>
      <c r="H133" s="58">
        <f>33071/1000</f>
        <v>33.071</v>
      </c>
      <c r="I133" s="165" t="s">
        <v>374</v>
      </c>
      <c r="J133" s="24" t="s">
        <v>256</v>
      </c>
    </row>
    <row r="134" spans="1:10" ht="18" customHeight="1">
      <c r="A134" s="24"/>
      <c r="B134" s="86" t="s">
        <v>276</v>
      </c>
      <c r="C134" s="77"/>
      <c r="D134" s="77"/>
      <c r="E134" s="67">
        <v>100203</v>
      </c>
      <c r="F134" s="67">
        <v>1310</v>
      </c>
      <c r="G134" s="83">
        <f>G125+G126</f>
        <v>911.1460000000001</v>
      </c>
      <c r="H134" s="83">
        <f>H125+H126</f>
        <v>906.7902000000001</v>
      </c>
      <c r="I134" s="36"/>
      <c r="J134" s="24"/>
    </row>
    <row r="135" spans="1:10" ht="18" customHeight="1">
      <c r="A135" s="24"/>
      <c r="B135" s="47"/>
      <c r="C135" s="24"/>
      <c r="D135" s="24"/>
      <c r="E135" s="24"/>
      <c r="F135" s="24"/>
      <c r="G135" s="36"/>
      <c r="H135" s="36"/>
      <c r="I135" s="36"/>
      <c r="J135" s="24"/>
    </row>
    <row r="136" spans="1:13" ht="15.75" customHeight="1">
      <c r="A136" s="167"/>
      <c r="B136" s="167" t="s">
        <v>221</v>
      </c>
      <c r="C136" s="20"/>
      <c r="D136" s="20"/>
      <c r="E136" s="20"/>
      <c r="F136" s="20"/>
      <c r="G136" s="20"/>
      <c r="H136" s="20"/>
      <c r="I136" s="20"/>
      <c r="J136" s="21"/>
      <c r="M136" s="49"/>
    </row>
    <row r="137" spans="1:10" ht="38.25" customHeight="1">
      <c r="A137" s="167"/>
      <c r="B137" s="167" t="s">
        <v>265</v>
      </c>
      <c r="C137" s="20"/>
      <c r="D137" s="20"/>
      <c r="E137" s="20"/>
      <c r="F137" s="20"/>
      <c r="G137" s="20"/>
      <c r="H137" s="20"/>
      <c r="I137" s="20"/>
      <c r="J137" s="21"/>
    </row>
    <row r="138" spans="1:10" ht="15.75" customHeight="1">
      <c r="A138" s="26">
        <v>1</v>
      </c>
      <c r="B138" s="23" t="s">
        <v>127</v>
      </c>
      <c r="C138" s="26" t="s">
        <v>53</v>
      </c>
      <c r="D138" s="50">
        <f>379+2.05+7</f>
        <v>388.05</v>
      </c>
      <c r="E138" s="25">
        <v>100203</v>
      </c>
      <c r="F138" s="25">
        <v>1310</v>
      </c>
      <c r="G138" s="25"/>
      <c r="H138" s="25"/>
      <c r="I138" s="25"/>
      <c r="J138" s="25" t="s">
        <v>51</v>
      </c>
    </row>
    <row r="139" spans="1:10" ht="15.75" customHeight="1">
      <c r="A139" s="26">
        <v>2</v>
      </c>
      <c r="B139" s="23" t="s">
        <v>128</v>
      </c>
      <c r="C139" s="26" t="s">
        <v>53</v>
      </c>
      <c r="D139" s="26">
        <v>498.66</v>
      </c>
      <c r="E139" s="25">
        <v>100203</v>
      </c>
      <c r="F139" s="25">
        <v>1310</v>
      </c>
      <c r="G139" s="25"/>
      <c r="H139" s="25"/>
      <c r="I139" s="25"/>
      <c r="J139" s="25" t="s">
        <v>51</v>
      </c>
    </row>
    <row r="140" spans="1:10" ht="15.75" customHeight="1">
      <c r="A140" s="26">
        <v>3</v>
      </c>
      <c r="B140" s="23" t="s">
        <v>129</v>
      </c>
      <c r="C140" s="26" t="s">
        <v>80</v>
      </c>
      <c r="D140" s="26">
        <v>205</v>
      </c>
      <c r="E140" s="25">
        <v>100203</v>
      </c>
      <c r="F140" s="25">
        <v>1310</v>
      </c>
      <c r="G140" s="25"/>
      <c r="H140" s="25"/>
      <c r="I140" s="25"/>
      <c r="J140" s="25" t="s">
        <v>51</v>
      </c>
    </row>
    <row r="141" spans="1:10" ht="15.75" customHeight="1">
      <c r="A141" s="26">
        <v>4</v>
      </c>
      <c r="B141" s="23" t="s">
        <v>130</v>
      </c>
      <c r="C141" s="26" t="s">
        <v>53</v>
      </c>
      <c r="D141" s="26">
        <v>406.39</v>
      </c>
      <c r="E141" s="25">
        <v>100203</v>
      </c>
      <c r="F141" s="25">
        <v>1310</v>
      </c>
      <c r="G141" s="25"/>
      <c r="H141" s="25"/>
      <c r="I141" s="25"/>
      <c r="J141" s="25" t="s">
        <v>51</v>
      </c>
    </row>
    <row r="142" spans="1:10" ht="15.75" customHeight="1">
      <c r="A142" s="26">
        <v>5</v>
      </c>
      <c r="B142" s="23" t="s">
        <v>131</v>
      </c>
      <c r="C142" s="26"/>
      <c r="D142" s="26"/>
      <c r="E142" s="25">
        <v>100203</v>
      </c>
      <c r="F142" s="25">
        <v>1310</v>
      </c>
      <c r="G142" s="25"/>
      <c r="H142" s="25"/>
      <c r="I142" s="25"/>
      <c r="J142" s="25" t="s">
        <v>51</v>
      </c>
    </row>
    <row r="143" spans="1:10" ht="12" customHeight="1">
      <c r="A143" s="26"/>
      <c r="B143" s="23" t="s">
        <v>132</v>
      </c>
      <c r="C143" s="26" t="s">
        <v>73</v>
      </c>
      <c r="D143" s="26">
        <v>4523</v>
      </c>
      <c r="E143" s="25">
        <v>100203</v>
      </c>
      <c r="F143" s="25">
        <v>1310</v>
      </c>
      <c r="G143" s="25"/>
      <c r="H143" s="25"/>
      <c r="I143" s="25"/>
      <c r="J143" s="25" t="s">
        <v>51</v>
      </c>
    </row>
    <row r="144" spans="1:10" ht="13.5" customHeight="1">
      <c r="A144" s="26"/>
      <c r="B144" s="23" t="s">
        <v>133</v>
      </c>
      <c r="C144" s="26" t="s">
        <v>73</v>
      </c>
      <c r="D144" s="26">
        <v>1802.4</v>
      </c>
      <c r="E144" s="25">
        <v>100203</v>
      </c>
      <c r="F144" s="25">
        <v>1310</v>
      </c>
      <c r="G144" s="25"/>
      <c r="H144" s="25"/>
      <c r="I144" s="25"/>
      <c r="J144" s="25" t="s">
        <v>51</v>
      </c>
    </row>
    <row r="145" spans="1:10" ht="15.75" customHeight="1">
      <c r="A145" s="26">
        <v>6</v>
      </c>
      <c r="B145" s="23" t="s">
        <v>134</v>
      </c>
      <c r="C145" s="26" t="s">
        <v>135</v>
      </c>
      <c r="D145" s="26">
        <v>3.5</v>
      </c>
      <c r="E145" s="25">
        <v>100203</v>
      </c>
      <c r="F145" s="25">
        <v>1310</v>
      </c>
      <c r="G145" s="25"/>
      <c r="H145" s="25"/>
      <c r="I145" s="25"/>
      <c r="J145" s="25" t="s">
        <v>51</v>
      </c>
    </row>
    <row r="146" spans="1:10" ht="15.75" customHeight="1">
      <c r="A146" s="26">
        <v>7</v>
      </c>
      <c r="B146" s="23" t="s">
        <v>136</v>
      </c>
      <c r="C146" s="26" t="s">
        <v>84</v>
      </c>
      <c r="D146" s="26">
        <v>2</v>
      </c>
      <c r="E146" s="25">
        <v>100203</v>
      </c>
      <c r="F146" s="25">
        <v>1310</v>
      </c>
      <c r="G146" s="25"/>
      <c r="H146" s="25"/>
      <c r="I146" s="25"/>
      <c r="J146" s="25" t="s">
        <v>51</v>
      </c>
    </row>
    <row r="147" spans="1:10" ht="15.75" customHeight="1">
      <c r="A147" s="26">
        <v>8</v>
      </c>
      <c r="B147" s="23" t="s">
        <v>137</v>
      </c>
      <c r="C147" s="26" t="s">
        <v>135</v>
      </c>
      <c r="D147" s="26">
        <v>1.5</v>
      </c>
      <c r="E147" s="25">
        <v>100203</v>
      </c>
      <c r="F147" s="25">
        <v>1310</v>
      </c>
      <c r="G147" s="25"/>
      <c r="H147" s="25"/>
      <c r="I147" s="25"/>
      <c r="J147" s="25" t="s">
        <v>51</v>
      </c>
    </row>
    <row r="148" spans="1:10" ht="15.75" customHeight="1">
      <c r="A148" s="26">
        <v>9</v>
      </c>
      <c r="B148" s="23" t="s">
        <v>138</v>
      </c>
      <c r="C148" s="26" t="s">
        <v>135</v>
      </c>
      <c r="D148" s="26">
        <v>1.5</v>
      </c>
      <c r="E148" s="25">
        <v>100203</v>
      </c>
      <c r="F148" s="25">
        <v>1310</v>
      </c>
      <c r="G148" s="25"/>
      <c r="H148" s="25"/>
      <c r="I148" s="25"/>
      <c r="J148" s="25" t="s">
        <v>51</v>
      </c>
    </row>
    <row r="149" spans="1:10" ht="15.75" customHeight="1">
      <c r="A149" s="26">
        <v>10</v>
      </c>
      <c r="B149" s="23" t="s">
        <v>139</v>
      </c>
      <c r="C149" s="26" t="s">
        <v>53</v>
      </c>
      <c r="D149" s="26">
        <v>249.56</v>
      </c>
      <c r="E149" s="25">
        <v>100203</v>
      </c>
      <c r="F149" s="25">
        <v>1310</v>
      </c>
      <c r="G149" s="25"/>
      <c r="H149" s="25"/>
      <c r="I149" s="25"/>
      <c r="J149" s="25" t="s">
        <v>51</v>
      </c>
    </row>
    <row r="150" spans="1:10" ht="15.75" customHeight="1">
      <c r="A150" s="26">
        <v>11</v>
      </c>
      <c r="B150" s="23" t="s">
        <v>140</v>
      </c>
      <c r="C150" s="26" t="s">
        <v>53</v>
      </c>
      <c r="D150" s="26">
        <v>169.47</v>
      </c>
      <c r="E150" s="25">
        <v>100203</v>
      </c>
      <c r="F150" s="25">
        <v>1310</v>
      </c>
      <c r="G150" s="25"/>
      <c r="H150" s="25"/>
      <c r="I150" s="25"/>
      <c r="J150" s="25" t="s">
        <v>51</v>
      </c>
    </row>
    <row r="151" spans="1:10" ht="15.75" customHeight="1">
      <c r="A151" s="26">
        <v>12</v>
      </c>
      <c r="B151" s="23" t="s">
        <v>141</v>
      </c>
      <c r="C151" s="26" t="s">
        <v>53</v>
      </c>
      <c r="D151" s="26">
        <v>4.45</v>
      </c>
      <c r="E151" s="25">
        <v>100203</v>
      </c>
      <c r="F151" s="25">
        <v>1310</v>
      </c>
      <c r="G151" s="25"/>
      <c r="H151" s="25"/>
      <c r="I151" s="25"/>
      <c r="J151" s="25" t="s">
        <v>51</v>
      </c>
    </row>
    <row r="152" spans="1:10" ht="15.75" customHeight="1">
      <c r="A152" s="26">
        <v>13</v>
      </c>
      <c r="B152" s="23" t="s">
        <v>142</v>
      </c>
      <c r="C152" s="26" t="s">
        <v>73</v>
      </c>
      <c r="D152" s="26">
        <v>495</v>
      </c>
      <c r="E152" s="25">
        <v>100203</v>
      </c>
      <c r="F152" s="25">
        <v>1310</v>
      </c>
      <c r="G152" s="25"/>
      <c r="H152" s="25"/>
      <c r="I152" s="25"/>
      <c r="J152" s="25" t="s">
        <v>51</v>
      </c>
    </row>
    <row r="153" spans="1:10" ht="15.75" customHeight="1">
      <c r="A153" s="26">
        <v>14</v>
      </c>
      <c r="B153" s="23" t="s">
        <v>143</v>
      </c>
      <c r="C153" s="26" t="s">
        <v>53</v>
      </c>
      <c r="D153" s="26">
        <v>377.28</v>
      </c>
      <c r="E153" s="25">
        <v>100203</v>
      </c>
      <c r="F153" s="25">
        <v>1310</v>
      </c>
      <c r="G153" s="25"/>
      <c r="H153" s="25"/>
      <c r="I153" s="25"/>
      <c r="J153" s="25" t="s">
        <v>51</v>
      </c>
    </row>
    <row r="154" spans="1:10" ht="15.75" customHeight="1">
      <c r="A154" s="26">
        <v>15</v>
      </c>
      <c r="B154" s="23" t="s">
        <v>144</v>
      </c>
      <c r="C154" s="26" t="s">
        <v>53</v>
      </c>
      <c r="D154" s="26">
        <v>377.32</v>
      </c>
      <c r="E154" s="25">
        <v>100203</v>
      </c>
      <c r="F154" s="25">
        <v>1310</v>
      </c>
      <c r="G154" s="25"/>
      <c r="H154" s="25"/>
      <c r="I154" s="25"/>
      <c r="J154" s="25" t="s">
        <v>51</v>
      </c>
    </row>
    <row r="155" spans="1:10" ht="15.75" customHeight="1">
      <c r="A155" s="26">
        <v>16</v>
      </c>
      <c r="B155" s="23" t="s">
        <v>145</v>
      </c>
      <c r="C155" s="26"/>
      <c r="D155" s="26"/>
      <c r="E155" s="25">
        <v>100203</v>
      </c>
      <c r="F155" s="25">
        <v>1310</v>
      </c>
      <c r="G155" s="25"/>
      <c r="H155" s="25"/>
      <c r="I155" s="25"/>
      <c r="J155" s="25" t="s">
        <v>51</v>
      </c>
    </row>
    <row r="156" spans="1:10" ht="15.75" customHeight="1">
      <c r="A156" s="26"/>
      <c r="B156" s="23" t="s">
        <v>146</v>
      </c>
      <c r="C156" s="26"/>
      <c r="D156" s="26"/>
      <c r="E156" s="25">
        <v>100203</v>
      </c>
      <c r="F156" s="25">
        <v>1310</v>
      </c>
      <c r="G156" s="25"/>
      <c r="H156" s="25"/>
      <c r="I156" s="25"/>
      <c r="J156" s="25" t="s">
        <v>51</v>
      </c>
    </row>
    <row r="157" spans="1:10" ht="15.75" customHeight="1">
      <c r="A157" s="26"/>
      <c r="B157" s="23" t="s">
        <v>147</v>
      </c>
      <c r="C157" s="26" t="s">
        <v>53</v>
      </c>
      <c r="D157" s="26">
        <v>73.35</v>
      </c>
      <c r="E157" s="25">
        <v>100203</v>
      </c>
      <c r="F157" s="25">
        <v>1310</v>
      </c>
      <c r="G157" s="25"/>
      <c r="H157" s="25"/>
      <c r="I157" s="25"/>
      <c r="J157" s="25" t="s">
        <v>51</v>
      </c>
    </row>
    <row r="158" spans="1:10" ht="15.75" customHeight="1">
      <c r="A158" s="26"/>
      <c r="B158" s="23" t="s">
        <v>148</v>
      </c>
      <c r="C158" s="26" t="s">
        <v>53</v>
      </c>
      <c r="D158" s="26">
        <v>73.35</v>
      </c>
      <c r="E158" s="25">
        <v>100203</v>
      </c>
      <c r="F158" s="25">
        <v>1310</v>
      </c>
      <c r="G158" s="25"/>
      <c r="H158" s="25"/>
      <c r="I158" s="25"/>
      <c r="J158" s="25" t="s">
        <v>51</v>
      </c>
    </row>
    <row r="159" spans="1:10" ht="15.75" customHeight="1">
      <c r="A159" s="26">
        <v>17</v>
      </c>
      <c r="B159" s="23" t="s">
        <v>149</v>
      </c>
      <c r="C159" s="26" t="s">
        <v>53</v>
      </c>
      <c r="D159" s="26">
        <v>79.3</v>
      </c>
      <c r="E159" s="25">
        <v>100203</v>
      </c>
      <c r="F159" s="25">
        <v>1310</v>
      </c>
      <c r="G159" s="25"/>
      <c r="H159" s="25"/>
      <c r="I159" s="25"/>
      <c r="J159" s="25" t="s">
        <v>51</v>
      </c>
    </row>
    <row r="160" spans="1:10" ht="15.75" customHeight="1">
      <c r="A160" s="26">
        <v>18</v>
      </c>
      <c r="B160" s="23" t="s">
        <v>150</v>
      </c>
      <c r="C160" s="26" t="s">
        <v>80</v>
      </c>
      <c r="D160" s="26">
        <v>140</v>
      </c>
      <c r="E160" s="25">
        <v>100203</v>
      </c>
      <c r="F160" s="25">
        <v>1310</v>
      </c>
      <c r="G160" s="25"/>
      <c r="H160" s="25"/>
      <c r="I160" s="25"/>
      <c r="J160" s="25" t="s">
        <v>51</v>
      </c>
    </row>
    <row r="161" spans="1:10" ht="15.75" customHeight="1">
      <c r="A161" s="26">
        <v>19</v>
      </c>
      <c r="B161" s="23" t="s">
        <v>151</v>
      </c>
      <c r="C161" s="26"/>
      <c r="D161" s="26"/>
      <c r="E161" s="25">
        <v>100203</v>
      </c>
      <c r="F161" s="25">
        <v>1310</v>
      </c>
      <c r="G161" s="25"/>
      <c r="H161" s="25"/>
      <c r="I161" s="25"/>
      <c r="J161" s="25" t="s">
        <v>51</v>
      </c>
    </row>
    <row r="162" spans="1:10" ht="15.75" customHeight="1">
      <c r="A162" s="26"/>
      <c r="B162" s="23" t="s">
        <v>152</v>
      </c>
      <c r="C162" s="26" t="s">
        <v>65</v>
      </c>
      <c r="D162" s="26">
        <v>6.8</v>
      </c>
      <c r="E162" s="25">
        <v>100203</v>
      </c>
      <c r="F162" s="25">
        <v>1310</v>
      </c>
      <c r="G162" s="25"/>
      <c r="H162" s="25"/>
      <c r="I162" s="25"/>
      <c r="J162" s="25" t="s">
        <v>51</v>
      </c>
    </row>
    <row r="163" spans="1:10" ht="15.75" customHeight="1">
      <c r="A163" s="26">
        <v>20</v>
      </c>
      <c r="B163" s="23" t="s">
        <v>153</v>
      </c>
      <c r="C163" s="26" t="s">
        <v>61</v>
      </c>
      <c r="D163" s="26">
        <f>21*8</f>
        <v>168</v>
      </c>
      <c r="E163" s="25">
        <v>100203</v>
      </c>
      <c r="F163" s="25">
        <v>1310</v>
      </c>
      <c r="G163" s="25"/>
      <c r="H163" s="25"/>
      <c r="I163" s="25"/>
      <c r="J163" s="25" t="s">
        <v>51</v>
      </c>
    </row>
    <row r="164" spans="1:10" ht="15.75" customHeight="1">
      <c r="A164" s="26"/>
      <c r="B164" s="29" t="s">
        <v>395</v>
      </c>
      <c r="C164" s="26"/>
      <c r="D164" s="26"/>
      <c r="E164" s="24">
        <v>100203</v>
      </c>
      <c r="F164" s="24">
        <v>1310</v>
      </c>
      <c r="G164" s="36">
        <f>(1500.38*0.33)+5</f>
        <v>500.12540000000007</v>
      </c>
      <c r="H164" s="36">
        <f>1500.38*0.33</f>
        <v>495.12540000000007</v>
      </c>
      <c r="I164" s="36"/>
      <c r="J164" s="24" t="s">
        <v>51</v>
      </c>
    </row>
    <row r="165" spans="1:10" ht="15.75" customHeight="1">
      <c r="A165" s="26">
        <v>21</v>
      </c>
      <c r="B165" s="29" t="s">
        <v>407</v>
      </c>
      <c r="C165" s="26"/>
      <c r="D165" s="26"/>
      <c r="E165" s="24">
        <v>100203</v>
      </c>
      <c r="F165" s="24">
        <v>1310</v>
      </c>
      <c r="G165" s="36">
        <f>G166+G167+G168+G169+G170+G171</f>
        <v>31.557299999999998</v>
      </c>
      <c r="H165" s="36">
        <f>H166+H167+H168+H169+H170+H171</f>
        <v>31.559299999999997</v>
      </c>
      <c r="I165" s="50" t="s">
        <v>374</v>
      </c>
      <c r="J165" s="24" t="s">
        <v>386</v>
      </c>
    </row>
    <row r="166" spans="1:10" ht="13.5" customHeight="1">
      <c r="A166" s="26"/>
      <c r="B166" s="23" t="s">
        <v>380</v>
      </c>
      <c r="C166" s="26" t="s">
        <v>53</v>
      </c>
      <c r="D166" s="26">
        <f>556/100</f>
        <v>5.56</v>
      </c>
      <c r="E166" s="24">
        <v>100203</v>
      </c>
      <c r="F166" s="24">
        <v>1310</v>
      </c>
      <c r="G166" s="58">
        <f>(232.3+7747)/1000</f>
        <v>7.9793</v>
      </c>
      <c r="H166" s="58">
        <f>(232.3+7747)/1000</f>
        <v>7.9793</v>
      </c>
      <c r="I166" s="50" t="s">
        <v>374</v>
      </c>
      <c r="J166" s="19" t="s">
        <v>387</v>
      </c>
    </row>
    <row r="167" spans="1:10" ht="12" customHeight="1">
      <c r="A167" s="26"/>
      <c r="B167" s="23" t="s">
        <v>378</v>
      </c>
      <c r="C167" s="26" t="s">
        <v>53</v>
      </c>
      <c r="D167" s="26">
        <f>6763/100</f>
        <v>67.63</v>
      </c>
      <c r="E167" s="24">
        <v>100203</v>
      </c>
      <c r="F167" s="24">
        <v>1310</v>
      </c>
      <c r="G167" s="58">
        <f>21489/1000</f>
        <v>21.489</v>
      </c>
      <c r="H167" s="58">
        <f>21489/1000</f>
        <v>21.489</v>
      </c>
      <c r="I167" s="50" t="s">
        <v>374</v>
      </c>
      <c r="J167" s="19" t="s">
        <v>388</v>
      </c>
    </row>
    <row r="168" spans="1:10" ht="13.5" customHeight="1">
      <c r="A168" s="26"/>
      <c r="B168" s="23" t="s">
        <v>261</v>
      </c>
      <c r="C168" s="26" t="s">
        <v>53</v>
      </c>
      <c r="D168" s="25">
        <f>98/100</f>
        <v>0.98</v>
      </c>
      <c r="E168" s="24">
        <v>100203</v>
      </c>
      <c r="F168" s="24">
        <v>1310</v>
      </c>
      <c r="G168" s="58">
        <f>1127/1000</f>
        <v>1.127</v>
      </c>
      <c r="H168" s="58">
        <f>1127/1000</f>
        <v>1.127</v>
      </c>
      <c r="I168" s="50" t="s">
        <v>374</v>
      </c>
      <c r="J168" s="30" t="s">
        <v>389</v>
      </c>
    </row>
    <row r="169" spans="1:10" ht="14.25" customHeight="1">
      <c r="A169" s="26"/>
      <c r="B169" s="23" t="s">
        <v>262</v>
      </c>
      <c r="C169" s="26" t="s">
        <v>53</v>
      </c>
      <c r="D169" s="58">
        <f>30.8/100</f>
        <v>0.308</v>
      </c>
      <c r="E169" s="24">
        <v>100203</v>
      </c>
      <c r="F169" s="24">
        <v>1310</v>
      </c>
      <c r="G169" s="58">
        <f>408/1000</f>
        <v>0.408</v>
      </c>
      <c r="H169" s="58">
        <f>408/1000</f>
        <v>0.408</v>
      </c>
      <c r="I169" s="50" t="s">
        <v>374</v>
      </c>
      <c r="J169" s="30" t="s">
        <v>390</v>
      </c>
    </row>
    <row r="170" spans="1:10" ht="14.25" customHeight="1">
      <c r="A170" s="26"/>
      <c r="B170" s="23" t="s">
        <v>381</v>
      </c>
      <c r="C170" s="26" t="s">
        <v>53</v>
      </c>
      <c r="D170" s="58">
        <f>9.68/100</f>
        <v>0.0968</v>
      </c>
      <c r="E170" s="24">
        <v>100203</v>
      </c>
      <c r="F170" s="24">
        <v>1310</v>
      </c>
      <c r="G170" s="58">
        <f>464/1000</f>
        <v>0.464</v>
      </c>
      <c r="H170" s="58">
        <f>464/1000</f>
        <v>0.464</v>
      </c>
      <c r="I170" s="50" t="s">
        <v>374</v>
      </c>
      <c r="J170" s="30" t="s">
        <v>391</v>
      </c>
    </row>
    <row r="171" spans="1:10" ht="14.25" customHeight="1">
      <c r="A171" s="26"/>
      <c r="B171" s="23" t="s">
        <v>379</v>
      </c>
      <c r="C171" s="26" t="s">
        <v>73</v>
      </c>
      <c r="D171" s="26">
        <v>7.32</v>
      </c>
      <c r="E171" s="24">
        <v>100203</v>
      </c>
      <c r="F171" s="24">
        <v>1310</v>
      </c>
      <c r="G171" s="58">
        <v>0.09</v>
      </c>
      <c r="H171" s="58">
        <f>92/1000</f>
        <v>0.092</v>
      </c>
      <c r="I171" s="50" t="s">
        <v>374</v>
      </c>
      <c r="J171" s="30" t="s">
        <v>392</v>
      </c>
    </row>
    <row r="172" spans="1:11" ht="20.25" customHeight="1">
      <c r="A172" s="23"/>
      <c r="B172" s="12" t="s">
        <v>394</v>
      </c>
      <c r="C172" s="3"/>
      <c r="D172" s="3"/>
      <c r="E172" s="7"/>
      <c r="F172" s="7"/>
      <c r="G172" s="11">
        <f>G164+G165+0.01</f>
        <v>531.6927000000001</v>
      </c>
      <c r="H172" s="11">
        <f>H164+H165+0.01</f>
        <v>526.6947</v>
      </c>
      <c r="I172" s="36"/>
      <c r="J172" s="24"/>
      <c r="K172" s="49"/>
    </row>
    <row r="173" spans="1:10" ht="15.75" customHeight="1">
      <c r="A173" s="171"/>
      <c r="B173" s="171" t="s">
        <v>222</v>
      </c>
      <c r="C173" s="172"/>
      <c r="D173" s="172"/>
      <c r="E173" s="172"/>
      <c r="F173" s="172"/>
      <c r="G173" s="172"/>
      <c r="H173" s="172"/>
      <c r="I173" s="172"/>
      <c r="J173" s="173"/>
    </row>
    <row r="174" spans="1:10" ht="21" customHeight="1">
      <c r="A174" s="168"/>
      <c r="B174" s="168" t="s">
        <v>21</v>
      </c>
      <c r="C174" s="169"/>
      <c r="D174" s="169"/>
      <c r="E174" s="169"/>
      <c r="F174" s="169"/>
      <c r="G174" s="169"/>
      <c r="H174" s="169"/>
      <c r="I174" s="169"/>
      <c r="J174" s="170"/>
    </row>
    <row r="175" spans="1:15" ht="12.75">
      <c r="A175" s="22">
        <v>1</v>
      </c>
      <c r="B175" s="52" t="s">
        <v>274</v>
      </c>
      <c r="C175" s="25"/>
      <c r="D175" s="25"/>
      <c r="E175" s="25">
        <v>100203</v>
      </c>
      <c r="F175" s="25">
        <v>1310</v>
      </c>
      <c r="G175" s="58">
        <v>229.42</v>
      </c>
      <c r="H175" s="58">
        <f>178.25+51.17</f>
        <v>229.42000000000002</v>
      </c>
      <c r="I175" s="50" t="s">
        <v>374</v>
      </c>
      <c r="J175" s="25" t="s">
        <v>399</v>
      </c>
      <c r="L175" s="37"/>
      <c r="M175" s="65"/>
      <c r="N175" s="35"/>
      <c r="O175" s="35"/>
    </row>
    <row r="176" spans="1:15" ht="12.75">
      <c r="A176" s="22"/>
      <c r="B176" s="52" t="s">
        <v>275</v>
      </c>
      <c r="C176" s="25"/>
      <c r="D176" s="25"/>
      <c r="E176" s="25">
        <v>100203</v>
      </c>
      <c r="F176" s="25">
        <v>1310</v>
      </c>
      <c r="G176" s="58">
        <f>55.3+17.8</f>
        <v>73.1</v>
      </c>
      <c r="H176" s="58">
        <f>52.6+17.8</f>
        <v>70.4</v>
      </c>
      <c r="I176" s="50" t="s">
        <v>374</v>
      </c>
      <c r="J176" s="25"/>
      <c r="K176" s="49"/>
      <c r="L176" s="37"/>
      <c r="M176" s="65"/>
      <c r="N176" s="35"/>
      <c r="O176" s="35"/>
    </row>
    <row r="177" spans="1:15" ht="19.5" customHeight="1">
      <c r="A177" s="22"/>
      <c r="B177" s="1" t="s">
        <v>219</v>
      </c>
      <c r="C177" s="9"/>
      <c r="D177" s="9"/>
      <c r="E177" s="7"/>
      <c r="F177" s="7"/>
      <c r="G177" s="11">
        <f>G175+G176</f>
        <v>302.52</v>
      </c>
      <c r="H177" s="11">
        <f>H175+H176</f>
        <v>299.82000000000005</v>
      </c>
      <c r="I177" s="36"/>
      <c r="J177" s="25"/>
      <c r="L177" s="35"/>
      <c r="M177" s="35"/>
      <c r="N177" s="35"/>
      <c r="O177" s="35"/>
    </row>
    <row r="178" spans="1:10" ht="42.75" customHeight="1">
      <c r="A178" s="167"/>
      <c r="B178" s="167" t="s">
        <v>123</v>
      </c>
      <c r="C178" s="20"/>
      <c r="D178" s="20"/>
      <c r="E178" s="20"/>
      <c r="F178" s="20"/>
      <c r="G178" s="20"/>
      <c r="H178" s="20"/>
      <c r="I178" s="20"/>
      <c r="J178" s="21"/>
    </row>
    <row r="179" spans="1:10" ht="15.75" customHeight="1">
      <c r="A179" s="168"/>
      <c r="B179" s="169"/>
      <c r="C179" s="169"/>
      <c r="D179" s="169"/>
      <c r="E179" s="169"/>
      <c r="F179" s="169"/>
      <c r="G179" s="169"/>
      <c r="H179" s="169"/>
      <c r="I179" s="169"/>
      <c r="J179" s="170"/>
    </row>
    <row r="180" spans="1:10" ht="12.75">
      <c r="A180" s="25">
        <v>1</v>
      </c>
      <c r="B180" s="52" t="s">
        <v>155</v>
      </c>
      <c r="C180" s="25" t="s">
        <v>73</v>
      </c>
      <c r="D180" s="25">
        <v>29</v>
      </c>
      <c r="E180" s="25">
        <v>100203</v>
      </c>
      <c r="F180" s="25">
        <v>1310</v>
      </c>
      <c r="G180" s="25"/>
      <c r="H180" s="25"/>
      <c r="I180" s="25"/>
      <c r="J180" s="25" t="s">
        <v>51</v>
      </c>
    </row>
    <row r="181" spans="1:10" ht="12.75">
      <c r="A181" s="25">
        <v>2</v>
      </c>
      <c r="B181" s="52" t="s">
        <v>156</v>
      </c>
      <c r="C181" s="25" t="s">
        <v>73</v>
      </c>
      <c r="D181" s="53">
        <v>29</v>
      </c>
      <c r="E181" s="25">
        <v>100203</v>
      </c>
      <c r="F181" s="25">
        <v>1310</v>
      </c>
      <c r="G181" s="25"/>
      <c r="H181" s="25"/>
      <c r="I181" s="25"/>
      <c r="J181" s="25" t="s">
        <v>51</v>
      </c>
    </row>
    <row r="182" spans="1:10" ht="12.75">
      <c r="A182" s="25">
        <v>3</v>
      </c>
      <c r="B182" s="52" t="s">
        <v>157</v>
      </c>
      <c r="C182" s="25" t="s">
        <v>80</v>
      </c>
      <c r="D182" s="53">
        <v>6</v>
      </c>
      <c r="E182" s="25">
        <v>100203</v>
      </c>
      <c r="F182" s="25">
        <v>1310</v>
      </c>
      <c r="G182" s="25"/>
      <c r="H182" s="25"/>
      <c r="I182" s="25"/>
      <c r="J182" s="25" t="s">
        <v>51</v>
      </c>
    </row>
    <row r="183" spans="1:10" ht="12.75">
      <c r="A183" s="25">
        <v>4</v>
      </c>
      <c r="B183" s="52" t="s">
        <v>158</v>
      </c>
      <c r="C183" s="25" t="s">
        <v>73</v>
      </c>
      <c r="D183" s="53">
        <v>313.68</v>
      </c>
      <c r="E183" s="25">
        <v>100203</v>
      </c>
      <c r="F183" s="25">
        <v>1310</v>
      </c>
      <c r="G183" s="25"/>
      <c r="H183" s="25"/>
      <c r="I183" s="25"/>
      <c r="J183" s="25" t="s">
        <v>51</v>
      </c>
    </row>
    <row r="184" spans="1:10" ht="12.75">
      <c r="A184" s="25">
        <v>5</v>
      </c>
      <c r="B184" s="52" t="s">
        <v>159</v>
      </c>
      <c r="C184" s="25" t="s">
        <v>73</v>
      </c>
      <c r="D184" s="53">
        <v>279.56</v>
      </c>
      <c r="E184" s="25">
        <v>100203</v>
      </c>
      <c r="F184" s="25">
        <v>1310</v>
      </c>
      <c r="G184" s="25"/>
      <c r="H184" s="25"/>
      <c r="I184" s="25"/>
      <c r="J184" s="25" t="s">
        <v>51</v>
      </c>
    </row>
    <row r="185" spans="1:10" ht="12.75">
      <c r="A185" s="25">
        <v>6</v>
      </c>
      <c r="B185" s="52" t="s">
        <v>160</v>
      </c>
      <c r="C185" s="25" t="s">
        <v>73</v>
      </c>
      <c r="D185" s="53">
        <v>79</v>
      </c>
      <c r="E185" s="25">
        <v>100203</v>
      </c>
      <c r="F185" s="25">
        <v>1310</v>
      </c>
      <c r="G185" s="25"/>
      <c r="H185" s="25"/>
      <c r="I185" s="25"/>
      <c r="J185" s="25" t="s">
        <v>51</v>
      </c>
    </row>
    <row r="186" spans="1:10" ht="12.75">
      <c r="A186" s="25">
        <v>7</v>
      </c>
      <c r="B186" s="52" t="s">
        <v>161</v>
      </c>
      <c r="C186" s="25" t="s">
        <v>162</v>
      </c>
      <c r="D186" s="53">
        <v>200</v>
      </c>
      <c r="E186" s="25">
        <v>100203</v>
      </c>
      <c r="F186" s="25">
        <v>1310</v>
      </c>
      <c r="G186" s="25"/>
      <c r="H186" s="25"/>
      <c r="I186" s="25"/>
      <c r="J186" s="25" t="s">
        <v>51</v>
      </c>
    </row>
    <row r="187" spans="1:10" ht="12.75">
      <c r="A187" s="25">
        <v>8</v>
      </c>
      <c r="B187" s="52" t="s">
        <v>163</v>
      </c>
      <c r="C187" s="25" t="s">
        <v>73</v>
      </c>
      <c r="D187" s="53">
        <v>21.36</v>
      </c>
      <c r="E187" s="25">
        <v>100203</v>
      </c>
      <c r="F187" s="25">
        <v>1310</v>
      </c>
      <c r="G187" s="25"/>
      <c r="H187" s="25"/>
      <c r="I187" s="25"/>
      <c r="J187" s="25" t="s">
        <v>51</v>
      </c>
    </row>
    <row r="188" spans="1:10" ht="12.75">
      <c r="A188" s="25">
        <v>9</v>
      </c>
      <c r="B188" s="52" t="s">
        <v>164</v>
      </c>
      <c r="C188" s="25"/>
      <c r="D188" s="53"/>
      <c r="E188" s="25">
        <v>100203</v>
      </c>
      <c r="F188" s="25">
        <v>1310</v>
      </c>
      <c r="G188" s="25"/>
      <c r="H188" s="25"/>
      <c r="I188" s="25"/>
      <c r="J188" s="25" t="s">
        <v>51</v>
      </c>
    </row>
    <row r="189" spans="1:10" ht="12.75">
      <c r="A189" s="25">
        <v>10</v>
      </c>
      <c r="B189" s="52" t="s">
        <v>165</v>
      </c>
      <c r="C189" s="25"/>
      <c r="D189" s="53"/>
      <c r="E189" s="25">
        <v>100203</v>
      </c>
      <c r="F189" s="25">
        <v>1310</v>
      </c>
      <c r="G189" s="25"/>
      <c r="H189" s="25"/>
      <c r="I189" s="25"/>
      <c r="J189" s="25" t="s">
        <v>51</v>
      </c>
    </row>
    <row r="190" spans="1:10" ht="12.75">
      <c r="A190" s="25">
        <v>11</v>
      </c>
      <c r="B190" s="52" t="s">
        <v>166</v>
      </c>
      <c r="C190" s="25"/>
      <c r="D190" s="53"/>
      <c r="E190" s="25">
        <v>100203</v>
      </c>
      <c r="F190" s="25">
        <v>1310</v>
      </c>
      <c r="G190" s="25"/>
      <c r="H190" s="25"/>
      <c r="I190" s="25"/>
      <c r="J190" s="25" t="s">
        <v>51</v>
      </c>
    </row>
    <row r="191" spans="1:11" ht="12.75">
      <c r="A191" s="25">
        <v>12</v>
      </c>
      <c r="B191" s="38" t="s">
        <v>168</v>
      </c>
      <c r="C191" s="25"/>
      <c r="D191" s="53"/>
      <c r="E191" s="30">
        <v>100203</v>
      </c>
      <c r="F191" s="24">
        <v>1310</v>
      </c>
      <c r="G191" s="36">
        <v>78.4</v>
      </c>
      <c r="H191" s="36">
        <f>78395/1000</f>
        <v>78.395</v>
      </c>
      <c r="I191" s="36"/>
      <c r="J191" s="25" t="s">
        <v>51</v>
      </c>
      <c r="K191" s="49"/>
    </row>
    <row r="192" spans="1:22" ht="23.25" customHeight="1">
      <c r="A192" s="43"/>
      <c r="B192" s="12" t="s">
        <v>396</v>
      </c>
      <c r="C192" s="9"/>
      <c r="D192" s="13"/>
      <c r="E192" s="3"/>
      <c r="F192" s="9"/>
      <c r="G192" s="11">
        <f>SUM(G191:G191)</f>
        <v>78.4</v>
      </c>
      <c r="H192" s="11">
        <v>78.4</v>
      </c>
      <c r="I192" s="36"/>
      <c r="J192" s="25"/>
      <c r="L192" s="20"/>
      <c r="M192" s="20"/>
      <c r="N192" s="20"/>
      <c r="O192" s="20"/>
      <c r="P192" s="20"/>
      <c r="Q192" s="20"/>
      <c r="R192" s="20"/>
      <c r="S192" s="20"/>
      <c r="T192" s="35"/>
      <c r="U192" s="35"/>
      <c r="V192" s="35"/>
    </row>
    <row r="193" spans="1:10" ht="15.75" customHeight="1">
      <c r="A193" s="167"/>
      <c r="B193" s="167" t="s">
        <v>124</v>
      </c>
      <c r="C193" s="20"/>
      <c r="D193" s="20"/>
      <c r="E193" s="20"/>
      <c r="F193" s="20"/>
      <c r="G193" s="20"/>
      <c r="H193" s="20"/>
      <c r="I193" s="20"/>
      <c r="J193" s="21"/>
    </row>
    <row r="194" spans="1:10" ht="18" customHeight="1">
      <c r="A194" s="167"/>
      <c r="B194" s="167" t="s">
        <v>22</v>
      </c>
      <c r="C194" s="20"/>
      <c r="D194" s="20"/>
      <c r="E194" s="20"/>
      <c r="F194" s="20"/>
      <c r="G194" s="20"/>
      <c r="H194" s="20"/>
      <c r="I194" s="20"/>
      <c r="J194" s="21"/>
    </row>
    <row r="195" spans="1:10" ht="14.25" customHeight="1">
      <c r="A195" s="26"/>
      <c r="B195" s="29" t="s">
        <v>169</v>
      </c>
      <c r="C195" s="26"/>
      <c r="D195" s="26"/>
      <c r="E195" s="42">
        <v>100203</v>
      </c>
      <c r="F195" s="25">
        <v>1310</v>
      </c>
      <c r="G195" s="25"/>
      <c r="H195" s="25"/>
      <c r="I195" s="25"/>
      <c r="J195" s="25" t="s">
        <v>51</v>
      </c>
    </row>
    <row r="196" spans="1:10" ht="12.75" customHeight="1">
      <c r="A196" s="26">
        <v>1</v>
      </c>
      <c r="B196" s="23" t="s">
        <v>171</v>
      </c>
      <c r="C196" s="26" t="s">
        <v>53</v>
      </c>
      <c r="D196" s="26">
        <v>1583.46</v>
      </c>
      <c r="E196" s="42">
        <v>100203</v>
      </c>
      <c r="F196" s="25">
        <v>1310</v>
      </c>
      <c r="G196" s="25"/>
      <c r="H196" s="25"/>
      <c r="I196" s="25"/>
      <c r="J196" s="25" t="s">
        <v>51</v>
      </c>
    </row>
    <row r="197" spans="1:10" ht="15" customHeight="1">
      <c r="A197" s="26">
        <v>2</v>
      </c>
      <c r="B197" s="23" t="s">
        <v>172</v>
      </c>
      <c r="C197" s="26" t="s">
        <v>73</v>
      </c>
      <c r="D197" s="26">
        <v>20835</v>
      </c>
      <c r="E197" s="42">
        <v>100203</v>
      </c>
      <c r="F197" s="25">
        <v>1310</v>
      </c>
      <c r="G197" s="25"/>
      <c r="H197" s="25"/>
      <c r="I197" s="25"/>
      <c r="J197" s="25" t="s">
        <v>51</v>
      </c>
    </row>
    <row r="198" spans="1:10" ht="14.25" customHeight="1">
      <c r="A198" s="26">
        <v>3</v>
      </c>
      <c r="B198" s="23" t="s">
        <v>170</v>
      </c>
      <c r="C198" s="26" t="s">
        <v>135</v>
      </c>
      <c r="D198" s="26">
        <v>3</v>
      </c>
      <c r="E198" s="42">
        <v>100203</v>
      </c>
      <c r="F198" s="25">
        <v>1310</v>
      </c>
      <c r="G198" s="25"/>
      <c r="H198" s="25"/>
      <c r="I198" s="25"/>
      <c r="J198" s="25" t="s">
        <v>51</v>
      </c>
    </row>
    <row r="199" spans="1:10" ht="12.75" customHeight="1">
      <c r="A199" s="167"/>
      <c r="B199" s="167" t="s">
        <v>125</v>
      </c>
      <c r="C199" s="20"/>
      <c r="D199" s="20"/>
      <c r="E199" s="20"/>
      <c r="F199" s="20"/>
      <c r="G199" s="20"/>
      <c r="H199" s="20"/>
      <c r="I199" s="20"/>
      <c r="J199" s="21"/>
    </row>
    <row r="200" spans="1:10" ht="17.25" customHeight="1">
      <c r="A200" s="167"/>
      <c r="B200" s="167" t="s">
        <v>24</v>
      </c>
      <c r="C200" s="20"/>
      <c r="D200" s="20"/>
      <c r="E200" s="20"/>
      <c r="F200" s="20"/>
      <c r="G200" s="20"/>
      <c r="H200" s="20"/>
      <c r="I200" s="20"/>
      <c r="J200" s="21"/>
    </row>
    <row r="201" spans="1:10" ht="12.75">
      <c r="A201" s="26"/>
      <c r="B201" s="29" t="s">
        <v>173</v>
      </c>
      <c r="C201" s="23"/>
      <c r="D201" s="26"/>
      <c r="E201" s="42">
        <v>100203</v>
      </c>
      <c r="F201" s="25">
        <v>1310</v>
      </c>
      <c r="G201" s="25"/>
      <c r="H201" s="25"/>
      <c r="I201" s="25"/>
      <c r="J201" s="25" t="s">
        <v>51</v>
      </c>
    </row>
    <row r="202" spans="1:10" ht="12.75">
      <c r="A202" s="26">
        <v>1</v>
      </c>
      <c r="B202" s="23" t="s">
        <v>174</v>
      </c>
      <c r="C202" s="26" t="s">
        <v>53</v>
      </c>
      <c r="D202" s="26">
        <v>28.73</v>
      </c>
      <c r="E202" s="42">
        <v>100203</v>
      </c>
      <c r="F202" s="25">
        <v>1310</v>
      </c>
      <c r="G202" s="25"/>
      <c r="H202" s="25"/>
      <c r="I202" s="25"/>
      <c r="J202" s="25" t="s">
        <v>51</v>
      </c>
    </row>
    <row r="203" spans="1:10" ht="12.75">
      <c r="A203" s="26">
        <v>2</v>
      </c>
      <c r="B203" s="23" t="s">
        <v>175</v>
      </c>
      <c r="C203" s="26" t="s">
        <v>53</v>
      </c>
      <c r="D203" s="26">
        <v>2.5</v>
      </c>
      <c r="E203" s="42">
        <v>100203</v>
      </c>
      <c r="F203" s="25">
        <v>1310</v>
      </c>
      <c r="G203" s="25"/>
      <c r="H203" s="25"/>
      <c r="I203" s="25"/>
      <c r="J203" s="25" t="s">
        <v>51</v>
      </c>
    </row>
    <row r="204" spans="1:10" ht="12.75">
      <c r="A204" s="26">
        <v>3</v>
      </c>
      <c r="B204" s="23" t="s">
        <v>176</v>
      </c>
      <c r="C204" s="26" t="s">
        <v>53</v>
      </c>
      <c r="D204" s="26">
        <v>28.73</v>
      </c>
      <c r="E204" s="42">
        <v>100203</v>
      </c>
      <c r="F204" s="25">
        <v>1310</v>
      </c>
      <c r="G204" s="25"/>
      <c r="H204" s="25"/>
      <c r="I204" s="25"/>
      <c r="J204" s="25" t="s">
        <v>51</v>
      </c>
    </row>
    <row r="205" spans="1:10" ht="12.75">
      <c r="A205" s="26"/>
      <c r="B205" s="23" t="s">
        <v>177</v>
      </c>
      <c r="C205" s="26" t="s">
        <v>53</v>
      </c>
      <c r="D205" s="26">
        <v>28.73</v>
      </c>
      <c r="E205" s="42">
        <v>100203</v>
      </c>
      <c r="F205" s="25">
        <v>1310</v>
      </c>
      <c r="G205" s="25"/>
      <c r="H205" s="25"/>
      <c r="I205" s="25"/>
      <c r="J205" s="25" t="s">
        <v>51</v>
      </c>
    </row>
    <row r="206" spans="1:10" ht="12.75">
      <c r="A206" s="26">
        <v>4</v>
      </c>
      <c r="B206" s="23" t="s">
        <v>178</v>
      </c>
      <c r="C206" s="26" t="s">
        <v>73</v>
      </c>
      <c r="D206" s="26">
        <v>2032</v>
      </c>
      <c r="E206" s="42">
        <v>100203</v>
      </c>
      <c r="F206" s="25">
        <v>1310</v>
      </c>
      <c r="G206" s="25"/>
      <c r="H206" s="25"/>
      <c r="I206" s="25"/>
      <c r="J206" s="25" t="s">
        <v>51</v>
      </c>
    </row>
    <row r="207" spans="1:10" ht="12.75">
      <c r="A207" s="26">
        <v>5</v>
      </c>
      <c r="B207" s="23" t="s">
        <v>170</v>
      </c>
      <c r="C207" s="26" t="s">
        <v>179</v>
      </c>
      <c r="D207" s="50">
        <v>3</v>
      </c>
      <c r="E207" s="42">
        <v>100203</v>
      </c>
      <c r="F207" s="25">
        <v>1310</v>
      </c>
      <c r="G207" s="25"/>
      <c r="H207" s="25"/>
      <c r="I207" s="25"/>
      <c r="J207" s="25" t="s">
        <v>51</v>
      </c>
    </row>
    <row r="208" spans="1:10" ht="12.75">
      <c r="A208" s="26">
        <v>6</v>
      </c>
      <c r="B208" s="23" t="s">
        <v>180</v>
      </c>
      <c r="C208" s="26" t="s">
        <v>53</v>
      </c>
      <c r="D208" s="26">
        <v>28.73</v>
      </c>
      <c r="E208" s="42">
        <v>100203</v>
      </c>
      <c r="F208" s="25">
        <v>1310</v>
      </c>
      <c r="G208" s="25"/>
      <c r="H208" s="25"/>
      <c r="I208" s="25"/>
      <c r="J208" s="25" t="s">
        <v>51</v>
      </c>
    </row>
    <row r="209" spans="1:10" ht="12.75">
      <c r="A209" s="26">
        <v>7</v>
      </c>
      <c r="B209" s="23" t="s">
        <v>181</v>
      </c>
      <c r="C209" s="26" t="s">
        <v>71</v>
      </c>
      <c r="D209" s="50">
        <v>6</v>
      </c>
      <c r="E209" s="42">
        <v>100203</v>
      </c>
      <c r="F209" s="25">
        <v>1310</v>
      </c>
      <c r="G209" s="25"/>
      <c r="H209" s="25"/>
      <c r="I209" s="25"/>
      <c r="J209" s="25" t="s">
        <v>51</v>
      </c>
    </row>
    <row r="210" spans="1:10" ht="12.75">
      <c r="A210" s="26">
        <v>8</v>
      </c>
      <c r="B210" s="23" t="s">
        <v>128</v>
      </c>
      <c r="C210" s="26" t="s">
        <v>53</v>
      </c>
      <c r="D210" s="26">
        <f>621/100</f>
        <v>6.21</v>
      </c>
      <c r="E210" s="42">
        <v>100203</v>
      </c>
      <c r="F210" s="25">
        <v>1310</v>
      </c>
      <c r="G210" s="25"/>
      <c r="H210" s="25"/>
      <c r="I210" s="25"/>
      <c r="J210" s="25" t="s">
        <v>51</v>
      </c>
    </row>
    <row r="211" spans="1:10" ht="25.5">
      <c r="A211" s="26">
        <v>9</v>
      </c>
      <c r="B211" s="29" t="s">
        <v>288</v>
      </c>
      <c r="C211" s="26"/>
      <c r="D211" s="26"/>
      <c r="E211" s="56">
        <v>100203</v>
      </c>
      <c r="F211" s="24">
        <v>1310</v>
      </c>
      <c r="G211" s="24">
        <v>9.77</v>
      </c>
      <c r="H211" s="36">
        <f>9772.7/1000</f>
        <v>9.7727</v>
      </c>
      <c r="I211" s="50" t="s">
        <v>374</v>
      </c>
      <c r="J211" s="24" t="s">
        <v>63</v>
      </c>
    </row>
    <row r="212" spans="1:10" ht="24.75" customHeight="1">
      <c r="A212" s="25"/>
      <c r="B212" s="38" t="s">
        <v>182</v>
      </c>
      <c r="C212" s="24" t="s">
        <v>53</v>
      </c>
      <c r="D212" s="36">
        <f>(262.5+1.87+12.5)/100</f>
        <v>2.7687</v>
      </c>
      <c r="E212" s="56">
        <v>100203</v>
      </c>
      <c r="F212" s="24">
        <v>1310</v>
      </c>
      <c r="G212" s="24">
        <f>(3889+164)/1000</f>
        <v>4.053</v>
      </c>
      <c r="H212" s="24">
        <f>(3889+164)/1000</f>
        <v>4.053</v>
      </c>
      <c r="I212" s="50" t="s">
        <v>374</v>
      </c>
      <c r="J212" s="24" t="s">
        <v>271</v>
      </c>
    </row>
    <row r="213" spans="1:10" ht="25.5" customHeight="1">
      <c r="A213" s="25"/>
      <c r="B213" s="38" t="s">
        <v>383</v>
      </c>
      <c r="C213" s="24" t="s">
        <v>84</v>
      </c>
      <c r="D213" s="36">
        <f>0.135+0.151</f>
        <v>0.28600000000000003</v>
      </c>
      <c r="E213" s="56"/>
      <c r="F213" s="24"/>
      <c r="G213" s="24">
        <v>0.409</v>
      </c>
      <c r="H213" s="101">
        <f>(156.52+252.67)/1000</f>
        <v>0.40919</v>
      </c>
      <c r="I213" s="50" t="s">
        <v>374</v>
      </c>
      <c r="J213" s="24" t="s">
        <v>384</v>
      </c>
    </row>
    <row r="214" spans="1:10" ht="26.25" customHeight="1">
      <c r="A214" s="167"/>
      <c r="B214" s="167" t="s">
        <v>126</v>
      </c>
      <c r="C214" s="20"/>
      <c r="D214" s="20"/>
      <c r="E214" s="20"/>
      <c r="F214" s="20"/>
      <c r="G214" s="20"/>
      <c r="H214" s="20"/>
      <c r="I214" s="20"/>
      <c r="J214" s="21"/>
    </row>
    <row r="215" spans="1:10" ht="12.75">
      <c r="A215" s="24"/>
      <c r="B215" s="29" t="s">
        <v>183</v>
      </c>
      <c r="C215" s="26"/>
      <c r="D215" s="26"/>
      <c r="E215" s="24"/>
      <c r="F215" s="24"/>
      <c r="G215" s="24"/>
      <c r="H215" s="24"/>
      <c r="I215" s="24"/>
      <c r="J215" s="24"/>
    </row>
    <row r="216" spans="1:10" ht="12.75">
      <c r="A216" s="25">
        <v>1</v>
      </c>
      <c r="B216" s="23" t="s">
        <v>184</v>
      </c>
      <c r="C216" s="26" t="s">
        <v>53</v>
      </c>
      <c r="D216" s="26">
        <v>8.74</v>
      </c>
      <c r="E216" s="42">
        <v>100203</v>
      </c>
      <c r="F216" s="25">
        <v>1310</v>
      </c>
      <c r="G216" s="25"/>
      <c r="H216" s="25"/>
      <c r="I216" s="25"/>
      <c r="J216" s="25" t="s">
        <v>51</v>
      </c>
    </row>
    <row r="217" spans="1:10" ht="12.75">
      <c r="A217" s="25">
        <v>2</v>
      </c>
      <c r="B217" s="23" t="s">
        <v>180</v>
      </c>
      <c r="C217" s="26" t="s">
        <v>53</v>
      </c>
      <c r="D217" s="26">
        <v>8.74</v>
      </c>
      <c r="E217" s="42">
        <v>100203</v>
      </c>
      <c r="F217" s="25">
        <v>1310</v>
      </c>
      <c r="G217" s="25"/>
      <c r="H217" s="25"/>
      <c r="I217" s="25"/>
      <c r="J217" s="25" t="s">
        <v>51</v>
      </c>
    </row>
    <row r="218" spans="1:10" ht="12.75">
      <c r="A218" s="25">
        <v>3</v>
      </c>
      <c r="B218" s="23" t="s">
        <v>185</v>
      </c>
      <c r="C218" s="26"/>
      <c r="D218" s="26"/>
      <c r="E218" s="42">
        <v>100203</v>
      </c>
      <c r="F218" s="25">
        <v>1310</v>
      </c>
      <c r="G218" s="25"/>
      <c r="H218" s="25"/>
      <c r="I218" s="25"/>
      <c r="J218" s="25" t="s">
        <v>51</v>
      </c>
    </row>
    <row r="219" spans="1:10" ht="12.75">
      <c r="A219" s="25">
        <v>4</v>
      </c>
      <c r="B219" s="23" t="s">
        <v>186</v>
      </c>
      <c r="C219" s="26" t="s">
        <v>53</v>
      </c>
      <c r="D219" s="26">
        <v>8.74</v>
      </c>
      <c r="E219" s="42">
        <v>100203</v>
      </c>
      <c r="F219" s="25">
        <v>1310</v>
      </c>
      <c r="G219" s="25"/>
      <c r="H219" s="25"/>
      <c r="I219" s="25"/>
      <c r="J219" s="25" t="s">
        <v>51</v>
      </c>
    </row>
    <row r="220" spans="1:12" ht="12.75">
      <c r="A220" s="25">
        <v>5</v>
      </c>
      <c r="B220" s="23" t="s">
        <v>187</v>
      </c>
      <c r="C220" s="26" t="s">
        <v>53</v>
      </c>
      <c r="D220" s="26">
        <v>8.74</v>
      </c>
      <c r="E220" s="42">
        <v>100203</v>
      </c>
      <c r="F220" s="25">
        <v>1310</v>
      </c>
      <c r="G220" s="25"/>
      <c r="H220" s="25"/>
      <c r="I220" s="25"/>
      <c r="J220" s="25" t="s">
        <v>51</v>
      </c>
      <c r="L220" s="49"/>
    </row>
    <row r="221" spans="1:10" ht="27" customHeight="1">
      <c r="A221" s="25"/>
      <c r="B221" s="29" t="s">
        <v>286</v>
      </c>
      <c r="C221" s="26" t="s">
        <v>53</v>
      </c>
      <c r="D221" s="26">
        <f>(122.5+142.4)/100</f>
        <v>2.6489999999999996</v>
      </c>
      <c r="E221" s="56"/>
      <c r="F221" s="24"/>
      <c r="G221" s="24">
        <f>(1615+1894)/1000</f>
        <v>3.509</v>
      </c>
      <c r="H221" s="24">
        <f>(1615+1894)/1000</f>
        <v>3.509</v>
      </c>
      <c r="I221" s="50" t="s">
        <v>374</v>
      </c>
      <c r="J221" s="24" t="s">
        <v>287</v>
      </c>
    </row>
    <row r="222" spans="1:10" ht="12.75" customHeight="1">
      <c r="A222" s="25">
        <v>6</v>
      </c>
      <c r="B222" s="29" t="s">
        <v>188</v>
      </c>
      <c r="C222" s="26"/>
      <c r="D222" s="26"/>
      <c r="E222" s="42"/>
      <c r="F222" s="25"/>
      <c r="G222" s="25"/>
      <c r="H222" s="25"/>
      <c r="I222" s="48"/>
      <c r="J222" s="25" t="s">
        <v>51</v>
      </c>
    </row>
    <row r="223" spans="1:10" ht="12.75" customHeight="1">
      <c r="A223" s="25">
        <v>7</v>
      </c>
      <c r="B223" s="23" t="s">
        <v>189</v>
      </c>
      <c r="C223" s="26" t="s">
        <v>122</v>
      </c>
      <c r="D223" s="26" t="s">
        <v>122</v>
      </c>
      <c r="E223" s="42"/>
      <c r="F223" s="25"/>
      <c r="G223" s="25" t="s">
        <v>122</v>
      </c>
      <c r="H223" s="25"/>
      <c r="I223" s="25"/>
      <c r="J223" s="25" t="s">
        <v>51</v>
      </c>
    </row>
    <row r="224" spans="1:10" ht="12.75" customHeight="1">
      <c r="A224" s="25">
        <v>8</v>
      </c>
      <c r="B224" s="23" t="s">
        <v>190</v>
      </c>
      <c r="C224" s="26" t="s">
        <v>122</v>
      </c>
      <c r="D224" s="26" t="s">
        <v>122</v>
      </c>
      <c r="E224" s="42"/>
      <c r="F224" s="25"/>
      <c r="G224" s="25" t="s">
        <v>122</v>
      </c>
      <c r="H224" s="25"/>
      <c r="I224" s="25"/>
      <c r="J224" s="25" t="s">
        <v>51</v>
      </c>
    </row>
    <row r="225" spans="1:10" ht="12.75" customHeight="1">
      <c r="A225" s="25">
        <v>9</v>
      </c>
      <c r="B225" s="23" t="s">
        <v>191</v>
      </c>
      <c r="C225" s="26" t="s">
        <v>122</v>
      </c>
      <c r="D225" s="26" t="s">
        <v>122</v>
      </c>
      <c r="E225" s="42"/>
      <c r="F225" s="25"/>
      <c r="G225" s="25" t="s">
        <v>122</v>
      </c>
      <c r="H225" s="25"/>
      <c r="I225" s="25"/>
      <c r="J225" s="25" t="s">
        <v>51</v>
      </c>
    </row>
    <row r="226" spans="1:10" ht="12.75" customHeight="1">
      <c r="A226" s="25">
        <v>10</v>
      </c>
      <c r="B226" s="23" t="s">
        <v>175</v>
      </c>
      <c r="C226" s="26" t="s">
        <v>122</v>
      </c>
      <c r="D226" s="26" t="s">
        <v>122</v>
      </c>
      <c r="E226" s="42"/>
      <c r="F226" s="25"/>
      <c r="G226" s="25" t="s">
        <v>122</v>
      </c>
      <c r="H226" s="25"/>
      <c r="I226" s="25"/>
      <c r="J226" s="25" t="s">
        <v>51</v>
      </c>
    </row>
    <row r="227" spans="1:10" ht="12.75" customHeight="1">
      <c r="A227" s="25">
        <v>11</v>
      </c>
      <c r="B227" s="23" t="s">
        <v>192</v>
      </c>
      <c r="C227" s="26" t="s">
        <v>122</v>
      </c>
      <c r="D227" s="26" t="s">
        <v>122</v>
      </c>
      <c r="E227" s="42"/>
      <c r="F227" s="25"/>
      <c r="G227" s="25" t="s">
        <v>122</v>
      </c>
      <c r="H227" s="25"/>
      <c r="I227" s="25"/>
      <c r="J227" s="25" t="s">
        <v>51</v>
      </c>
    </row>
    <row r="228" spans="1:10" ht="12.75" customHeight="1">
      <c r="A228" s="25">
        <v>12</v>
      </c>
      <c r="B228" s="23" t="s">
        <v>193</v>
      </c>
      <c r="C228" s="26" t="s">
        <v>122</v>
      </c>
      <c r="D228" s="26" t="s">
        <v>122</v>
      </c>
      <c r="E228" s="42"/>
      <c r="F228" s="25"/>
      <c r="G228" s="25" t="s">
        <v>122</v>
      </c>
      <c r="H228" s="25"/>
      <c r="I228" s="25"/>
      <c r="J228" s="25" t="s">
        <v>51</v>
      </c>
    </row>
    <row r="229" spans="1:10" ht="12.75" customHeight="1">
      <c r="A229" s="25">
        <v>13</v>
      </c>
      <c r="B229" s="23" t="s">
        <v>195</v>
      </c>
      <c r="C229" s="26" t="s">
        <v>122</v>
      </c>
      <c r="D229" s="26" t="s">
        <v>122</v>
      </c>
      <c r="E229" s="42"/>
      <c r="F229" s="25"/>
      <c r="G229" s="25" t="s">
        <v>122</v>
      </c>
      <c r="H229" s="25"/>
      <c r="I229" s="25"/>
      <c r="J229" s="25" t="s">
        <v>51</v>
      </c>
    </row>
    <row r="230" spans="1:10" ht="12.75" customHeight="1">
      <c r="A230" s="25">
        <v>14</v>
      </c>
      <c r="B230" s="23" t="s">
        <v>196</v>
      </c>
      <c r="C230" s="26" t="s">
        <v>122</v>
      </c>
      <c r="D230" s="26" t="s">
        <v>122</v>
      </c>
      <c r="E230" s="42"/>
      <c r="F230" s="25"/>
      <c r="G230" s="25" t="s">
        <v>122</v>
      </c>
      <c r="H230" s="25"/>
      <c r="I230" s="25"/>
      <c r="J230" s="25" t="s">
        <v>51</v>
      </c>
    </row>
    <row r="231" spans="1:10" ht="12.75" customHeight="1">
      <c r="A231" s="25">
        <v>15</v>
      </c>
      <c r="B231" s="23" t="s">
        <v>197</v>
      </c>
      <c r="C231" s="26" t="s">
        <v>122</v>
      </c>
      <c r="D231" s="26" t="s">
        <v>122</v>
      </c>
      <c r="E231" s="42"/>
      <c r="F231" s="25"/>
      <c r="G231" s="25" t="s">
        <v>122</v>
      </c>
      <c r="H231" s="25"/>
      <c r="I231" s="25"/>
      <c r="J231" s="25" t="s">
        <v>51</v>
      </c>
    </row>
    <row r="232" spans="1:10" ht="12.75" customHeight="1">
      <c r="A232" s="25">
        <v>16</v>
      </c>
      <c r="B232" s="23" t="s">
        <v>198</v>
      </c>
      <c r="C232" s="26"/>
      <c r="D232" s="26" t="s">
        <v>122</v>
      </c>
      <c r="E232" s="42"/>
      <c r="F232" s="25"/>
      <c r="G232" s="25" t="s">
        <v>122</v>
      </c>
      <c r="H232" s="25"/>
      <c r="I232" s="25"/>
      <c r="J232" s="25" t="s">
        <v>51</v>
      </c>
    </row>
    <row r="233" spans="1:10" ht="12.75" customHeight="1">
      <c r="A233" s="25">
        <v>17</v>
      </c>
      <c r="B233" s="23" t="s">
        <v>153</v>
      </c>
      <c r="C233" s="26" t="s">
        <v>122</v>
      </c>
      <c r="D233" s="26" t="s">
        <v>122</v>
      </c>
      <c r="E233" s="42"/>
      <c r="F233" s="25"/>
      <c r="G233" s="25" t="s">
        <v>122</v>
      </c>
      <c r="H233" s="25"/>
      <c r="I233" s="25"/>
      <c r="J233" s="25" t="s">
        <v>51</v>
      </c>
    </row>
    <row r="234" spans="1:10" ht="12.75" customHeight="1">
      <c r="A234" s="25"/>
      <c r="B234" s="29" t="s">
        <v>154</v>
      </c>
      <c r="C234" s="26"/>
      <c r="D234" s="26"/>
      <c r="E234" s="42"/>
      <c r="F234" s="25"/>
      <c r="G234" s="25">
        <f>G212+G213+G221</f>
        <v>7.971</v>
      </c>
      <c r="H234" s="101">
        <f>H212+H213+H221</f>
        <v>7.97119</v>
      </c>
      <c r="I234" s="50" t="s">
        <v>374</v>
      </c>
      <c r="J234" s="25"/>
    </row>
    <row r="235" spans="1:10" ht="16.5" customHeight="1">
      <c r="A235" s="22"/>
      <c r="B235" s="32" t="s">
        <v>398</v>
      </c>
      <c r="C235" s="23"/>
      <c r="D235" s="23"/>
      <c r="E235" s="42">
        <v>100203</v>
      </c>
      <c r="F235" s="24">
        <v>1310</v>
      </c>
      <c r="G235" s="36">
        <f>1500.38*0.11</f>
        <v>165.04180000000002</v>
      </c>
      <c r="H235" s="36">
        <f>1500.38*0.11</f>
        <v>165.04180000000002</v>
      </c>
      <c r="I235" s="36"/>
      <c r="J235" s="58" t="s">
        <v>51</v>
      </c>
    </row>
    <row r="236" spans="1:10" ht="28.5" customHeight="1">
      <c r="A236" s="22"/>
      <c r="B236" s="88" t="s">
        <v>397</v>
      </c>
      <c r="C236" s="9"/>
      <c r="D236" s="9"/>
      <c r="E236" s="9"/>
      <c r="F236" s="9"/>
      <c r="G236" s="11">
        <f>G211+G234+G235</f>
        <v>182.7828</v>
      </c>
      <c r="H236" s="11">
        <f>H234+H235+H211-0.01</f>
        <v>182.77569000000005</v>
      </c>
      <c r="I236" s="36"/>
      <c r="J236" s="25"/>
    </row>
    <row r="237" spans="1:10" ht="22.5" customHeight="1">
      <c r="A237" s="167"/>
      <c r="B237" s="176" t="s">
        <v>25</v>
      </c>
      <c r="C237" s="20"/>
      <c r="D237" s="20"/>
      <c r="E237" s="20"/>
      <c r="F237" s="20"/>
      <c r="G237" s="20"/>
      <c r="H237" s="20"/>
      <c r="I237" s="20"/>
      <c r="J237" s="21"/>
    </row>
    <row r="238" spans="1:10" ht="12.75">
      <c r="A238" s="23"/>
      <c r="B238" s="29" t="s">
        <v>200</v>
      </c>
      <c r="C238" s="23"/>
      <c r="D238" s="23"/>
      <c r="E238" s="42">
        <v>100203</v>
      </c>
      <c r="F238" s="25">
        <v>1310</v>
      </c>
      <c r="G238" s="25"/>
      <c r="H238" s="25"/>
      <c r="I238" s="25"/>
      <c r="J238" s="25" t="s">
        <v>51</v>
      </c>
    </row>
    <row r="239" spans="1:10" ht="12.75">
      <c r="A239" s="26">
        <v>1</v>
      </c>
      <c r="B239" s="23" t="s">
        <v>201</v>
      </c>
      <c r="C239" s="26" t="s">
        <v>53</v>
      </c>
      <c r="D239" s="26">
        <v>1.08</v>
      </c>
      <c r="E239" s="42">
        <v>100203</v>
      </c>
      <c r="F239" s="25">
        <v>1310</v>
      </c>
      <c r="G239" s="25"/>
      <c r="H239" s="25"/>
      <c r="I239" s="25"/>
      <c r="J239" s="25" t="s">
        <v>51</v>
      </c>
    </row>
    <row r="240" spans="1:10" ht="12.75">
      <c r="A240" s="26">
        <v>2</v>
      </c>
      <c r="B240" s="23" t="s">
        <v>202</v>
      </c>
      <c r="C240" s="26" t="s">
        <v>203</v>
      </c>
      <c r="D240" s="26">
        <v>30</v>
      </c>
      <c r="E240" s="42">
        <v>100203</v>
      </c>
      <c r="F240" s="25">
        <v>1310</v>
      </c>
      <c r="G240" s="25"/>
      <c r="H240" s="25"/>
      <c r="I240" s="25"/>
      <c r="J240" s="25" t="s">
        <v>51</v>
      </c>
    </row>
    <row r="241" spans="1:10" ht="12.75">
      <c r="A241" s="26">
        <v>3</v>
      </c>
      <c r="B241" s="23" t="s">
        <v>204</v>
      </c>
      <c r="C241" s="26" t="s">
        <v>135</v>
      </c>
      <c r="D241" s="26">
        <v>4</v>
      </c>
      <c r="E241" s="42">
        <v>100203</v>
      </c>
      <c r="F241" s="25">
        <v>1310</v>
      </c>
      <c r="G241" s="25"/>
      <c r="H241" s="25"/>
      <c r="I241" s="25"/>
      <c r="J241" s="25" t="s">
        <v>51</v>
      </c>
    </row>
    <row r="242" spans="1:10" ht="12.75">
      <c r="A242" s="26">
        <v>4</v>
      </c>
      <c r="B242" s="23" t="s">
        <v>205</v>
      </c>
      <c r="C242" s="26" t="s">
        <v>53</v>
      </c>
      <c r="D242" s="26">
        <v>1.08</v>
      </c>
      <c r="E242" s="42">
        <v>100203</v>
      </c>
      <c r="F242" s="25">
        <v>1310</v>
      </c>
      <c r="G242" s="25"/>
      <c r="H242" s="25"/>
      <c r="I242" s="25"/>
      <c r="J242" s="25" t="s">
        <v>51</v>
      </c>
    </row>
    <row r="243" spans="1:10" ht="12.75">
      <c r="A243" s="26">
        <v>5</v>
      </c>
      <c r="B243" s="23" t="s">
        <v>206</v>
      </c>
      <c r="C243" s="26" t="s">
        <v>53</v>
      </c>
      <c r="D243" s="26">
        <v>1</v>
      </c>
      <c r="E243" s="42">
        <v>100203</v>
      </c>
      <c r="F243" s="25">
        <v>1310</v>
      </c>
      <c r="G243" s="25"/>
      <c r="H243" s="25"/>
      <c r="I243" s="25"/>
      <c r="J243" s="25" t="s">
        <v>51</v>
      </c>
    </row>
    <row r="244" spans="1:10" ht="12.75">
      <c r="A244" s="26"/>
      <c r="B244" s="23"/>
      <c r="C244" s="26"/>
      <c r="D244" s="26"/>
      <c r="E244" s="42">
        <v>100203</v>
      </c>
      <c r="F244" s="25">
        <v>1310</v>
      </c>
      <c r="G244" s="25"/>
      <c r="H244" s="25"/>
      <c r="I244" s="25"/>
      <c r="J244" s="25" t="s">
        <v>51</v>
      </c>
    </row>
    <row r="245" spans="1:10" ht="12.75">
      <c r="A245" s="26"/>
      <c r="B245" s="29" t="s">
        <v>207</v>
      </c>
      <c r="C245" s="26"/>
      <c r="D245" s="26"/>
      <c r="E245" s="42">
        <v>100203</v>
      </c>
      <c r="F245" s="25">
        <v>1310</v>
      </c>
      <c r="G245" s="25"/>
      <c r="H245" s="25"/>
      <c r="I245" s="25"/>
      <c r="J245" s="25" t="s">
        <v>51</v>
      </c>
    </row>
    <row r="246" spans="1:10" ht="12.75">
      <c r="A246" s="26">
        <v>1</v>
      </c>
      <c r="B246" s="23" t="s">
        <v>208</v>
      </c>
      <c r="C246" s="26" t="s">
        <v>53</v>
      </c>
      <c r="D246" s="26">
        <v>70</v>
      </c>
      <c r="E246" s="42">
        <v>100203</v>
      </c>
      <c r="F246" s="25">
        <v>1310</v>
      </c>
      <c r="G246" s="25"/>
      <c r="H246" s="25"/>
      <c r="I246" s="25"/>
      <c r="J246" s="25" t="s">
        <v>51</v>
      </c>
    </row>
    <row r="247" spans="1:10" ht="12.75">
      <c r="A247" s="26">
        <v>2</v>
      </c>
      <c r="B247" s="23" t="s">
        <v>209</v>
      </c>
      <c r="C247" s="26" t="s">
        <v>194</v>
      </c>
      <c r="D247" s="26">
        <v>3.7</v>
      </c>
      <c r="E247" s="42">
        <v>100203</v>
      </c>
      <c r="F247" s="25">
        <v>1310</v>
      </c>
      <c r="G247" s="25"/>
      <c r="H247" s="25"/>
      <c r="I247" s="25"/>
      <c r="J247" s="25" t="s">
        <v>51</v>
      </c>
    </row>
    <row r="248" spans="1:10" ht="12.75">
      <c r="A248" s="26">
        <v>3</v>
      </c>
      <c r="B248" s="23" t="s">
        <v>210</v>
      </c>
      <c r="C248" s="26" t="s">
        <v>53</v>
      </c>
      <c r="D248" s="26">
        <v>1.44</v>
      </c>
      <c r="E248" s="42">
        <v>100203</v>
      </c>
      <c r="F248" s="25">
        <v>1310</v>
      </c>
      <c r="G248" s="25"/>
      <c r="H248" s="25"/>
      <c r="I248" s="25"/>
      <c r="J248" s="25" t="s">
        <v>51</v>
      </c>
    </row>
    <row r="249" spans="1:10" ht="12.75">
      <c r="A249" s="26">
        <v>4</v>
      </c>
      <c r="B249" s="23" t="s">
        <v>211</v>
      </c>
      <c r="C249" s="26" t="s">
        <v>53</v>
      </c>
      <c r="D249" s="26">
        <f>1945/100</f>
        <v>19.45</v>
      </c>
      <c r="E249" s="42">
        <v>100203</v>
      </c>
      <c r="F249" s="25">
        <v>1310</v>
      </c>
      <c r="G249" s="25"/>
      <c r="H249" s="25"/>
      <c r="I249" s="25"/>
      <c r="J249" s="25" t="s">
        <v>51</v>
      </c>
    </row>
    <row r="250" spans="1:10" ht="12.75">
      <c r="A250" s="26">
        <v>5</v>
      </c>
      <c r="B250" s="23" t="s">
        <v>212</v>
      </c>
      <c r="C250" s="26"/>
      <c r="D250" s="26"/>
      <c r="E250" s="42">
        <v>100203</v>
      </c>
      <c r="F250" s="25">
        <v>1310</v>
      </c>
      <c r="G250" s="25"/>
      <c r="H250" s="25"/>
      <c r="I250" s="25"/>
      <c r="J250" s="25" t="s">
        <v>51</v>
      </c>
    </row>
    <row r="251" spans="1:10" ht="12.75">
      <c r="A251" s="26"/>
      <c r="B251" s="23" t="s">
        <v>213</v>
      </c>
      <c r="C251" s="26" t="s">
        <v>53</v>
      </c>
      <c r="D251" s="26">
        <v>27.86</v>
      </c>
      <c r="E251" s="42">
        <v>100203</v>
      </c>
      <c r="F251" s="25">
        <v>1310</v>
      </c>
      <c r="G251" s="25"/>
      <c r="H251" s="25"/>
      <c r="I251" s="25"/>
      <c r="J251" s="25" t="s">
        <v>51</v>
      </c>
    </row>
    <row r="252" spans="1:10" ht="12.75">
      <c r="A252" s="26">
        <v>6</v>
      </c>
      <c r="B252" s="23" t="s">
        <v>214</v>
      </c>
      <c r="C252" s="26" t="s">
        <v>179</v>
      </c>
      <c r="D252" s="26">
        <v>3</v>
      </c>
      <c r="E252" s="42">
        <v>100203</v>
      </c>
      <c r="F252" s="25">
        <v>1310</v>
      </c>
      <c r="G252" s="25"/>
      <c r="H252" s="25"/>
      <c r="I252" s="25"/>
      <c r="J252" s="25" t="s">
        <v>51</v>
      </c>
    </row>
    <row r="253" spans="1:10" ht="12.75">
      <c r="A253" s="26">
        <v>7</v>
      </c>
      <c r="B253" s="23" t="s">
        <v>215</v>
      </c>
      <c r="C253" s="26" t="s">
        <v>53</v>
      </c>
      <c r="D253" s="26">
        <v>27.86</v>
      </c>
      <c r="E253" s="42">
        <v>100203</v>
      </c>
      <c r="F253" s="25">
        <v>1310</v>
      </c>
      <c r="G253" s="25"/>
      <c r="H253" s="25"/>
      <c r="I253" s="25"/>
      <c r="J253" s="25" t="s">
        <v>51</v>
      </c>
    </row>
    <row r="254" spans="1:10" ht="12.75">
      <c r="A254" s="26">
        <v>8</v>
      </c>
      <c r="B254" s="23" t="s">
        <v>216</v>
      </c>
      <c r="C254" s="26" t="s">
        <v>53</v>
      </c>
      <c r="D254" s="26">
        <v>22</v>
      </c>
      <c r="E254" s="42">
        <v>100203</v>
      </c>
      <c r="F254" s="25">
        <v>1310</v>
      </c>
      <c r="G254" s="25"/>
      <c r="H254" s="25"/>
      <c r="I254" s="25"/>
      <c r="J254" s="25" t="s">
        <v>51</v>
      </c>
    </row>
    <row r="255" spans="1:10" ht="12.75">
      <c r="A255" s="26">
        <v>9</v>
      </c>
      <c r="B255" s="23" t="s">
        <v>217</v>
      </c>
      <c r="C255" s="26" t="s">
        <v>61</v>
      </c>
      <c r="D255" s="26">
        <v>120</v>
      </c>
      <c r="E255" s="42">
        <v>100203</v>
      </c>
      <c r="F255" s="25">
        <v>1310</v>
      </c>
      <c r="G255" s="25"/>
      <c r="H255" s="25"/>
      <c r="I255" s="25"/>
      <c r="J255" s="25" t="s">
        <v>51</v>
      </c>
    </row>
    <row r="256" spans="1:10" ht="12.75">
      <c r="A256" s="26">
        <v>10</v>
      </c>
      <c r="B256" s="23" t="s">
        <v>153</v>
      </c>
      <c r="C256" s="26" t="s">
        <v>61</v>
      </c>
      <c r="D256" s="26">
        <v>8</v>
      </c>
      <c r="E256" s="42">
        <v>100203</v>
      </c>
      <c r="F256" s="25">
        <v>1310</v>
      </c>
      <c r="G256" s="25"/>
      <c r="H256" s="25"/>
      <c r="I256" s="25"/>
      <c r="J256" s="25" t="s">
        <v>51</v>
      </c>
    </row>
    <row r="257" spans="1:10" ht="15" customHeight="1">
      <c r="A257" s="26"/>
      <c r="B257" s="47" t="s">
        <v>400</v>
      </c>
      <c r="C257" s="26"/>
      <c r="D257" s="26"/>
      <c r="E257" s="56">
        <v>100203</v>
      </c>
      <c r="F257" s="24">
        <v>1310</v>
      </c>
      <c r="G257" s="36">
        <f>1500.38*0.02</f>
        <v>30.007600000000004</v>
      </c>
      <c r="H257" s="36">
        <f>1500.38*0.02</f>
        <v>30.007600000000004</v>
      </c>
      <c r="I257" s="36"/>
      <c r="J257" s="25" t="s">
        <v>51</v>
      </c>
    </row>
    <row r="258" spans="1:10" ht="18" customHeight="1">
      <c r="A258" s="26"/>
      <c r="B258" s="29" t="s">
        <v>402</v>
      </c>
      <c r="C258" s="26" t="s">
        <v>53</v>
      </c>
      <c r="D258" s="50">
        <f>302.4/100</f>
        <v>3.0239999999999996</v>
      </c>
      <c r="E258" s="56">
        <v>100203</v>
      </c>
      <c r="F258" s="24">
        <v>1310</v>
      </c>
      <c r="G258" s="36">
        <f>961/1000</f>
        <v>0.961</v>
      </c>
      <c r="H258" s="36">
        <f>961/1000</f>
        <v>0.961</v>
      </c>
      <c r="I258" s="48" t="s">
        <v>374</v>
      </c>
      <c r="J258" s="19" t="s">
        <v>401</v>
      </c>
    </row>
    <row r="259" spans="1:12" ht="19.5" customHeight="1">
      <c r="A259" s="23"/>
      <c r="B259" s="1" t="s">
        <v>408</v>
      </c>
      <c r="C259" s="3"/>
      <c r="D259" s="3"/>
      <c r="E259" s="7"/>
      <c r="F259" s="7"/>
      <c r="G259" s="11">
        <f>G257+G258</f>
        <v>30.968600000000002</v>
      </c>
      <c r="H259" s="11">
        <f>H257+H258</f>
        <v>30.968600000000002</v>
      </c>
      <c r="I259" s="36"/>
      <c r="J259" s="24"/>
      <c r="L259" s="63"/>
    </row>
    <row r="260" spans="1:12" ht="26.25" customHeight="1">
      <c r="A260" s="24"/>
      <c r="B260" s="54" t="s">
        <v>403</v>
      </c>
      <c r="C260" s="54"/>
      <c r="D260" s="54"/>
      <c r="E260" s="54"/>
      <c r="F260" s="54"/>
      <c r="G260" s="14">
        <f>G74++G134+G172+G177+G192+G236+G259</f>
        <v>4191.758600000001</v>
      </c>
      <c r="H260" s="14">
        <f>H74+H134+H172+H192+H236+H259+H177</f>
        <v>4179.30269</v>
      </c>
      <c r="I260" s="36"/>
      <c r="J260" s="24"/>
      <c r="L260" s="37"/>
    </row>
    <row r="261" spans="1:9" ht="12.75">
      <c r="A261" s="20"/>
      <c r="B261" s="20"/>
      <c r="C261" s="20"/>
      <c r="D261" s="20"/>
      <c r="E261" s="20"/>
      <c r="F261" s="20"/>
      <c r="G261" s="20"/>
      <c r="H261" s="20"/>
      <c r="I261" s="20"/>
    </row>
    <row r="262" spans="1:9" s="35" customFormat="1" ht="12.75">
      <c r="A262" s="31"/>
      <c r="C262" s="144"/>
      <c r="D262" s="34"/>
      <c r="E262" s="34"/>
      <c r="F262" s="34"/>
      <c r="G262" s="37"/>
      <c r="H262" s="37"/>
      <c r="I262" s="37"/>
    </row>
    <row r="263" spans="1:13" s="35" customFormat="1" ht="12.75">
      <c r="A263" s="31"/>
      <c r="G263" s="37"/>
      <c r="L263" s="37"/>
      <c r="M263" s="37"/>
    </row>
    <row r="264" spans="1:7" s="35" customFormat="1" ht="12.75">
      <c r="A264" s="31"/>
      <c r="G264" s="37"/>
    </row>
    <row r="265" spans="1:17" s="35" customFormat="1" ht="12.75">
      <c r="A265" s="31"/>
      <c r="B265" s="34"/>
      <c r="C265" s="34"/>
      <c r="D265" s="34"/>
      <c r="E265" s="75"/>
      <c r="F265" s="34"/>
      <c r="G265" s="65"/>
      <c r="M265" s="65"/>
      <c r="O265" s="15"/>
      <c r="P265" s="15"/>
      <c r="Q265" s="15"/>
    </row>
    <row r="266" spans="2:14" ht="12.75">
      <c r="B266" s="34"/>
      <c r="C266" s="34"/>
      <c r="D266" s="34"/>
      <c r="E266" s="34"/>
      <c r="F266" s="34"/>
      <c r="L266" s="35"/>
      <c r="M266" s="35"/>
      <c r="N266" s="35"/>
    </row>
    <row r="267" spans="2:7" ht="12.75">
      <c r="B267" s="16"/>
      <c r="C267" s="34"/>
      <c r="D267" s="34"/>
      <c r="G267" s="49"/>
    </row>
    <row r="268" spans="2:14" ht="12.75">
      <c r="B268" s="16"/>
      <c r="C268" s="34"/>
      <c r="D268" s="34"/>
      <c r="N268" s="49"/>
    </row>
    <row r="269" ht="12.75">
      <c r="N269" s="162"/>
    </row>
    <row r="271" spans="2:14" ht="14.25">
      <c r="B271" s="5"/>
      <c r="C271" s="6"/>
      <c r="D271" s="4"/>
      <c r="E271" s="6"/>
      <c r="F271" s="6"/>
      <c r="N271" s="163"/>
    </row>
    <row r="272" spans="2:12" ht="14.25">
      <c r="B272" s="5"/>
      <c r="C272" s="5"/>
      <c r="D272" s="6"/>
      <c r="E272" s="6"/>
      <c r="F272" s="6"/>
      <c r="L272" s="97"/>
    </row>
    <row r="273" spans="2:6" ht="14.25">
      <c r="B273" s="5"/>
      <c r="C273" s="6"/>
      <c r="D273" s="6"/>
      <c r="E273" s="6"/>
      <c r="F273" s="6"/>
    </row>
    <row r="274" spans="2:6" ht="14.25">
      <c r="B274" s="5"/>
      <c r="C274" s="6"/>
      <c r="D274" s="6"/>
      <c r="E274" s="6"/>
      <c r="F274" s="6"/>
    </row>
    <row r="275" ht="12.75">
      <c r="B275" s="16"/>
    </row>
    <row r="286" ht="12.75">
      <c r="O286" s="103"/>
    </row>
    <row r="287" ht="12.75">
      <c r="O287" s="103"/>
    </row>
  </sheetData>
  <sheetProtection/>
  <mergeCells count="5">
    <mergeCell ref="A13:J13"/>
    <mergeCell ref="A9:J9"/>
    <mergeCell ref="A10:J10"/>
    <mergeCell ref="A11:J11"/>
    <mergeCell ref="A12:J12"/>
  </mergeCells>
  <printOptions/>
  <pageMargins left="0.16" right="0.16" top="0.16" bottom="0.17" header="0.17" footer="0.17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51"/>
  <sheetViews>
    <sheetView zoomScalePageLayoutView="0" workbookViewId="0" topLeftCell="A1">
      <selection activeCell="B329" sqref="B329"/>
    </sheetView>
  </sheetViews>
  <sheetFormatPr defaultColWidth="9.00390625" defaultRowHeight="12.75"/>
  <cols>
    <col min="1" max="1" width="4.875" style="15" customWidth="1"/>
    <col min="2" max="2" width="60.875" style="15" customWidth="1"/>
    <col min="3" max="3" width="10.125" style="15" customWidth="1"/>
    <col min="4" max="4" width="8.75390625" style="15" customWidth="1"/>
    <col min="5" max="5" width="11.75390625" style="15" customWidth="1"/>
    <col min="6" max="6" width="10.375" style="15" customWidth="1"/>
    <col min="7" max="7" width="11.625" style="15" customWidth="1"/>
    <col min="8" max="8" width="13.625" style="15" customWidth="1"/>
    <col min="9" max="9" width="12.25390625" style="15" customWidth="1"/>
    <col min="10" max="10" width="11.625" style="15" bestFit="1" customWidth="1"/>
    <col min="11" max="16384" width="9.125" style="15" customWidth="1"/>
  </cols>
  <sheetData>
    <row r="1" spans="6:8" ht="14.25">
      <c r="F1" s="6" t="s">
        <v>277</v>
      </c>
      <c r="G1" s="6"/>
      <c r="H1" s="6"/>
    </row>
    <row r="2" spans="6:8" ht="14.25">
      <c r="F2" s="6" t="s">
        <v>280</v>
      </c>
      <c r="G2" s="6"/>
      <c r="H2" s="6"/>
    </row>
    <row r="3" spans="6:8" ht="14.25">
      <c r="F3" s="6" t="s">
        <v>278</v>
      </c>
      <c r="G3" s="6"/>
      <c r="H3" s="6"/>
    </row>
    <row r="4" spans="6:8" ht="14.25">
      <c r="F4" s="6" t="s">
        <v>358</v>
      </c>
      <c r="G4" s="6"/>
      <c r="H4" s="6"/>
    </row>
    <row r="5" spans="6:8" ht="12.75" customHeight="1">
      <c r="F5" s="6" t="s">
        <v>279</v>
      </c>
      <c r="G5" s="6"/>
      <c r="H5" s="6"/>
    </row>
    <row r="6" ht="12.75" customHeight="1"/>
    <row r="7" ht="12.75" customHeight="1"/>
    <row r="8" spans="2:6" ht="15.75">
      <c r="B8" s="55"/>
      <c r="C8" s="72" t="s">
        <v>0</v>
      </c>
      <c r="D8" s="55"/>
      <c r="E8" s="55"/>
      <c r="F8" s="55"/>
    </row>
    <row r="9" spans="1:6" ht="15.75">
      <c r="A9" s="16"/>
      <c r="B9" s="100"/>
      <c r="C9" s="72" t="s">
        <v>1</v>
      </c>
      <c r="D9" s="100"/>
      <c r="E9" s="100"/>
      <c r="F9" s="100"/>
    </row>
    <row r="10" spans="1:7" ht="15.75">
      <c r="A10" s="16"/>
      <c r="B10" s="55"/>
      <c r="C10" s="72" t="s">
        <v>290</v>
      </c>
      <c r="D10" s="55"/>
      <c r="E10" s="55"/>
      <c r="F10" s="55"/>
      <c r="G10" s="134"/>
    </row>
    <row r="11" spans="1:9" ht="38.25">
      <c r="A11" s="17" t="s">
        <v>27</v>
      </c>
      <c r="B11" s="18" t="s">
        <v>2</v>
      </c>
      <c r="C11" s="18" t="s">
        <v>3</v>
      </c>
      <c r="D11" s="17" t="s">
        <v>26</v>
      </c>
      <c r="E11" s="18" t="s">
        <v>410</v>
      </c>
      <c r="F11" s="18" t="s">
        <v>409</v>
      </c>
      <c r="G11" s="18" t="s">
        <v>429</v>
      </c>
      <c r="H11" s="18" t="s">
        <v>411</v>
      </c>
      <c r="I11" s="56" t="s">
        <v>69</v>
      </c>
    </row>
    <row r="12" spans="1:9" ht="12.75">
      <c r="A12" s="19"/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12">
        <v>8</v>
      </c>
      <c r="I12" s="23">
        <v>9</v>
      </c>
    </row>
    <row r="13" spans="1:9" ht="12.75">
      <c r="A13" s="413" t="s">
        <v>8</v>
      </c>
      <c r="B13" s="413"/>
      <c r="C13" s="413"/>
      <c r="D13" s="413"/>
      <c r="E13" s="413"/>
      <c r="F13" s="413"/>
      <c r="G13" s="413"/>
      <c r="H13" s="414"/>
      <c r="I13" s="61"/>
    </row>
    <row r="14" spans="1:9" ht="14.25" customHeight="1">
      <c r="A14" s="415" t="s">
        <v>9</v>
      </c>
      <c r="B14" s="416"/>
      <c r="C14" s="416"/>
      <c r="D14" s="416"/>
      <c r="E14" s="416"/>
      <c r="F14" s="416"/>
      <c r="G14" s="416"/>
      <c r="H14" s="416"/>
      <c r="I14" s="127"/>
    </row>
    <row r="15" spans="1:9" ht="12.75">
      <c r="A15" s="417" t="s">
        <v>10</v>
      </c>
      <c r="B15" s="404"/>
      <c r="C15" s="404"/>
      <c r="D15" s="404"/>
      <c r="E15" s="404"/>
      <c r="F15" s="404"/>
      <c r="G15" s="404"/>
      <c r="H15" s="404"/>
      <c r="I15" s="128"/>
    </row>
    <row r="16" spans="1:9" ht="12.75">
      <c r="A16" s="417" t="s">
        <v>11</v>
      </c>
      <c r="B16" s="404"/>
      <c r="C16" s="404"/>
      <c r="D16" s="404"/>
      <c r="E16" s="404"/>
      <c r="F16" s="404"/>
      <c r="G16" s="404"/>
      <c r="H16" s="404"/>
      <c r="I16" s="128"/>
    </row>
    <row r="17" spans="1:9" ht="12.75">
      <c r="A17" s="409" t="s">
        <v>12</v>
      </c>
      <c r="B17" s="410"/>
      <c r="C17" s="410"/>
      <c r="D17" s="410"/>
      <c r="E17" s="410"/>
      <c r="F17" s="410"/>
      <c r="G17" s="410"/>
      <c r="H17" s="410"/>
      <c r="I17" s="129"/>
    </row>
    <row r="18" spans="1:9" ht="12.75">
      <c r="A18" s="123" t="s">
        <v>13</v>
      </c>
      <c r="B18" s="40" t="s">
        <v>28</v>
      </c>
      <c r="C18" s="124"/>
      <c r="D18" s="124"/>
      <c r="E18" s="125"/>
      <c r="F18" s="125"/>
      <c r="G18" s="125"/>
      <c r="H18" s="126"/>
      <c r="I18" s="60"/>
    </row>
    <row r="19" spans="1:9" ht="12.75">
      <c r="A19" s="22"/>
      <c r="B19" s="29" t="s">
        <v>29</v>
      </c>
      <c r="C19" s="24"/>
      <c r="D19" s="24"/>
      <c r="E19" s="25"/>
      <c r="F19" s="25"/>
      <c r="G19" s="24"/>
      <c r="H19" s="53"/>
      <c r="I19" s="23"/>
    </row>
    <row r="20" spans="1:9" ht="12.75">
      <c r="A20" s="22"/>
      <c r="B20" s="23" t="s">
        <v>30</v>
      </c>
      <c r="C20" s="26" t="s">
        <v>43</v>
      </c>
      <c r="D20" s="26">
        <v>200</v>
      </c>
      <c r="E20" s="105">
        <f>2*8</f>
        <v>16</v>
      </c>
      <c r="F20" s="105">
        <v>0.47</v>
      </c>
      <c r="G20" s="105">
        <f>D20*E20*F20</f>
        <v>1504</v>
      </c>
      <c r="H20" s="113">
        <f>542233/26142.3934*G20</f>
        <v>31195.247486406504</v>
      </c>
      <c r="I20" s="23"/>
    </row>
    <row r="21" spans="1:9" ht="12.75">
      <c r="A21" s="22"/>
      <c r="B21" s="23" t="s">
        <v>31</v>
      </c>
      <c r="C21" s="26" t="s">
        <v>43</v>
      </c>
      <c r="D21" s="26">
        <v>40</v>
      </c>
      <c r="E21" s="105">
        <v>16</v>
      </c>
      <c r="F21" s="105">
        <v>0.47</v>
      </c>
      <c r="G21" s="106">
        <f aca="true" t="shared" si="0" ref="G21:G39">D21*E21*F21</f>
        <v>300.79999999999995</v>
      </c>
      <c r="H21" s="113">
        <f aca="true" t="shared" si="1" ref="H21:H64">542233/26142.3934*G21</f>
        <v>6239.049497281299</v>
      </c>
      <c r="I21" s="23"/>
    </row>
    <row r="22" spans="1:9" ht="12.75">
      <c r="A22" s="22"/>
      <c r="B22" s="23" t="s">
        <v>32</v>
      </c>
      <c r="C22" s="26" t="s">
        <v>43</v>
      </c>
      <c r="D22" s="26">
        <v>57</v>
      </c>
      <c r="E22" s="105">
        <f>2*8</f>
        <v>16</v>
      </c>
      <c r="F22" s="105">
        <v>0.47</v>
      </c>
      <c r="G22" s="106">
        <f t="shared" si="0"/>
        <v>428.64</v>
      </c>
      <c r="H22" s="113">
        <f t="shared" si="1"/>
        <v>8890.645533625853</v>
      </c>
      <c r="I22" s="23"/>
    </row>
    <row r="23" spans="1:9" ht="12.75">
      <c r="A23" s="22"/>
      <c r="B23" s="23" t="s">
        <v>33</v>
      </c>
      <c r="C23" s="26" t="s">
        <v>43</v>
      </c>
      <c r="D23" s="26">
        <v>30</v>
      </c>
      <c r="E23" s="105">
        <v>16</v>
      </c>
      <c r="F23" s="105">
        <v>0.47</v>
      </c>
      <c r="G23" s="106">
        <f t="shared" si="0"/>
        <v>225.6</v>
      </c>
      <c r="H23" s="113">
        <f t="shared" si="1"/>
        <v>4679.2871229609755</v>
      </c>
      <c r="I23" s="23"/>
    </row>
    <row r="24" spans="1:9" ht="12.75">
      <c r="A24" s="22"/>
      <c r="B24" s="23" t="s">
        <v>34</v>
      </c>
      <c r="C24" s="26" t="s">
        <v>43</v>
      </c>
      <c r="D24" s="26">
        <v>193</v>
      </c>
      <c r="E24" s="105">
        <v>16</v>
      </c>
      <c r="F24" s="105">
        <v>0.47</v>
      </c>
      <c r="G24" s="106">
        <f t="shared" si="0"/>
        <v>1451.36</v>
      </c>
      <c r="H24" s="113">
        <f t="shared" si="1"/>
        <v>30103.413824382274</v>
      </c>
      <c r="I24" s="23"/>
    </row>
    <row r="25" spans="1:9" ht="12.75">
      <c r="A25" s="22"/>
      <c r="B25" s="23" t="s">
        <v>35</v>
      </c>
      <c r="C25" s="26" t="s">
        <v>43</v>
      </c>
      <c r="D25" s="26">
        <v>96</v>
      </c>
      <c r="E25" s="105">
        <v>16</v>
      </c>
      <c r="F25" s="105">
        <v>0.47</v>
      </c>
      <c r="G25" s="106">
        <f t="shared" si="0"/>
        <v>721.92</v>
      </c>
      <c r="H25" s="113">
        <f t="shared" si="1"/>
        <v>14973.71879347512</v>
      </c>
      <c r="I25" s="23"/>
    </row>
    <row r="26" spans="1:9" ht="12.75">
      <c r="A26" s="25"/>
      <c r="B26" s="23" t="s">
        <v>36</v>
      </c>
      <c r="C26" s="26" t="s">
        <v>43</v>
      </c>
      <c r="D26" s="26">
        <v>142</v>
      </c>
      <c r="E26" s="105">
        <v>16</v>
      </c>
      <c r="F26" s="105">
        <v>0.47</v>
      </c>
      <c r="G26" s="106">
        <f t="shared" si="0"/>
        <v>1067.84</v>
      </c>
      <c r="H26" s="113">
        <f t="shared" si="1"/>
        <v>22148.625715348615</v>
      </c>
      <c r="I26" s="23"/>
    </row>
    <row r="27" spans="1:9" ht="12.75">
      <c r="A27" s="25"/>
      <c r="B27" s="23" t="s">
        <v>37</v>
      </c>
      <c r="C27" s="26" t="s">
        <v>43</v>
      </c>
      <c r="D27" s="26">
        <v>33</v>
      </c>
      <c r="E27" s="105">
        <v>16</v>
      </c>
      <c r="F27" s="105">
        <v>0.47</v>
      </c>
      <c r="G27" s="106">
        <f t="shared" si="0"/>
        <v>248.16</v>
      </c>
      <c r="H27" s="113">
        <f t="shared" si="1"/>
        <v>5147.215835257073</v>
      </c>
      <c r="I27" s="23"/>
    </row>
    <row r="28" spans="1:9" ht="12.75">
      <c r="A28" s="25"/>
      <c r="B28" s="23" t="s">
        <v>38</v>
      </c>
      <c r="C28" s="26" t="s">
        <v>43</v>
      </c>
      <c r="D28" s="26">
        <v>96</v>
      </c>
      <c r="E28" s="105">
        <v>16</v>
      </c>
      <c r="F28" s="105">
        <v>0.47</v>
      </c>
      <c r="G28" s="106">
        <f t="shared" si="0"/>
        <v>721.92</v>
      </c>
      <c r="H28" s="113">
        <f t="shared" si="1"/>
        <v>14973.71879347512</v>
      </c>
      <c r="I28" s="23"/>
    </row>
    <row r="29" spans="1:9" ht="12.75">
      <c r="A29" s="22"/>
      <c r="B29" s="23" t="s">
        <v>39</v>
      </c>
      <c r="C29" s="26" t="s">
        <v>43</v>
      </c>
      <c r="D29" s="26">
        <v>22</v>
      </c>
      <c r="E29" s="105">
        <v>8</v>
      </c>
      <c r="F29" s="105">
        <v>0.47</v>
      </c>
      <c r="G29" s="106">
        <f t="shared" si="0"/>
        <v>82.72</v>
      </c>
      <c r="H29" s="113">
        <f t="shared" si="1"/>
        <v>1715.7386117523577</v>
      </c>
      <c r="I29" s="23"/>
    </row>
    <row r="30" spans="1:9" ht="12.75">
      <c r="A30" s="22"/>
      <c r="B30" s="23" t="s">
        <v>40</v>
      </c>
      <c r="C30" s="26" t="s">
        <v>43</v>
      </c>
      <c r="D30" s="26">
        <v>174</v>
      </c>
      <c r="E30" s="105">
        <v>8</v>
      </c>
      <c r="F30" s="105">
        <v>0.47</v>
      </c>
      <c r="G30" s="106">
        <f t="shared" si="0"/>
        <v>654.24</v>
      </c>
      <c r="H30" s="113">
        <f t="shared" si="1"/>
        <v>13569.932656586829</v>
      </c>
      <c r="I30" s="23"/>
    </row>
    <row r="31" spans="1:9" ht="12.75">
      <c r="A31" s="22"/>
      <c r="B31" s="23" t="s">
        <v>41</v>
      </c>
      <c r="C31" s="26" t="s">
        <v>43</v>
      </c>
      <c r="D31" s="26">
        <v>190</v>
      </c>
      <c r="E31" s="105">
        <v>3</v>
      </c>
      <c r="F31" s="105">
        <v>0.47</v>
      </c>
      <c r="G31" s="106">
        <f t="shared" si="0"/>
        <v>267.9</v>
      </c>
      <c r="H31" s="113">
        <f t="shared" si="1"/>
        <v>5556.653458516158</v>
      </c>
      <c r="I31" s="23"/>
    </row>
    <row r="32" spans="1:9" ht="12.75">
      <c r="A32" s="22"/>
      <c r="B32" s="23" t="s">
        <v>42</v>
      </c>
      <c r="C32" s="26" t="s">
        <v>43</v>
      </c>
      <c r="D32" s="26">
        <v>80</v>
      </c>
      <c r="E32" s="105">
        <v>2</v>
      </c>
      <c r="F32" s="105">
        <v>0.47</v>
      </c>
      <c r="G32" s="106">
        <f t="shared" si="0"/>
        <v>75.19999999999999</v>
      </c>
      <c r="H32" s="113">
        <f t="shared" si="1"/>
        <v>1559.7623743203249</v>
      </c>
      <c r="I32" s="23"/>
    </row>
    <row r="33" spans="1:9" ht="12.75">
      <c r="A33" s="22"/>
      <c r="B33" s="23" t="s">
        <v>44</v>
      </c>
      <c r="C33" s="26" t="s">
        <v>52</v>
      </c>
      <c r="D33" s="26">
        <v>320</v>
      </c>
      <c r="E33" s="25">
        <v>3</v>
      </c>
      <c r="F33" s="25">
        <v>0.91</v>
      </c>
      <c r="G33" s="107">
        <f t="shared" si="0"/>
        <v>873.6</v>
      </c>
      <c r="H33" s="113">
        <f t="shared" si="1"/>
        <v>18119.792688912712</v>
      </c>
      <c r="I33" s="23"/>
    </row>
    <row r="34" spans="1:9" ht="12.75">
      <c r="A34" s="22"/>
      <c r="B34" s="23" t="s">
        <v>46</v>
      </c>
      <c r="C34" s="26" t="s">
        <v>52</v>
      </c>
      <c r="D34" s="26">
        <v>310</v>
      </c>
      <c r="E34" s="25">
        <v>3</v>
      </c>
      <c r="F34" s="25">
        <v>0.3</v>
      </c>
      <c r="G34" s="107">
        <f t="shared" si="0"/>
        <v>279</v>
      </c>
      <c r="H34" s="113">
        <f t="shared" si="1"/>
        <v>5786.884340895887</v>
      </c>
      <c r="I34" s="23"/>
    </row>
    <row r="35" spans="1:9" ht="12.75">
      <c r="A35" s="22"/>
      <c r="B35" s="23" t="s">
        <v>47</v>
      </c>
      <c r="C35" s="26" t="s">
        <v>52</v>
      </c>
      <c r="D35" s="26">
        <v>350</v>
      </c>
      <c r="E35" s="25">
        <v>4</v>
      </c>
      <c r="F35" s="25">
        <v>0.91</v>
      </c>
      <c r="G35" s="107">
        <f t="shared" si="0"/>
        <v>1274</v>
      </c>
      <c r="H35" s="113">
        <f t="shared" si="1"/>
        <v>26424.69767133104</v>
      </c>
      <c r="I35" s="23"/>
    </row>
    <row r="36" spans="1:9" ht="12.75">
      <c r="A36" s="22"/>
      <c r="B36" s="23" t="s">
        <v>48</v>
      </c>
      <c r="C36" s="26" t="s">
        <v>53</v>
      </c>
      <c r="D36" s="26">
        <v>75.39</v>
      </c>
      <c r="E36" s="25">
        <v>8</v>
      </c>
      <c r="F36" s="25">
        <v>6.25</v>
      </c>
      <c r="G36" s="107">
        <f t="shared" si="0"/>
        <v>3769.5</v>
      </c>
      <c r="H36" s="113">
        <f t="shared" si="1"/>
        <v>78185.16316489982</v>
      </c>
      <c r="I36" s="23"/>
    </row>
    <row r="37" spans="1:9" ht="12.75">
      <c r="A37" s="22"/>
      <c r="B37" s="23" t="s">
        <v>49</v>
      </c>
      <c r="C37" s="26" t="s">
        <v>53</v>
      </c>
      <c r="D37" s="26">
        <v>324.96</v>
      </c>
      <c r="E37" s="25">
        <v>4</v>
      </c>
      <c r="F37" s="25">
        <v>0.31</v>
      </c>
      <c r="G37" s="107">
        <f t="shared" si="0"/>
        <v>402.95039999999995</v>
      </c>
      <c r="H37" s="113">
        <f t="shared" si="1"/>
        <v>8357.804157411232</v>
      </c>
      <c r="I37" s="23"/>
    </row>
    <row r="38" spans="1:9" ht="12.75">
      <c r="A38" s="22"/>
      <c r="B38" s="23" t="s">
        <v>223</v>
      </c>
      <c r="C38" s="26" t="s">
        <v>53</v>
      </c>
      <c r="D38" s="26">
        <v>55.64</v>
      </c>
      <c r="E38" s="25">
        <v>16</v>
      </c>
      <c r="F38" s="25">
        <v>0.162</v>
      </c>
      <c r="G38" s="107">
        <f t="shared" si="0"/>
        <v>144.21888</v>
      </c>
      <c r="H38" s="113">
        <f t="shared" si="1"/>
        <v>2991.318918758219</v>
      </c>
      <c r="I38" s="23"/>
    </row>
    <row r="39" spans="1:9" ht="12.75">
      <c r="A39" s="22"/>
      <c r="B39" s="23" t="s">
        <v>62</v>
      </c>
      <c r="C39" s="26" t="s">
        <v>61</v>
      </c>
      <c r="D39" s="26">
        <v>128</v>
      </c>
      <c r="E39" s="25">
        <v>8</v>
      </c>
      <c r="F39" s="25">
        <v>1</v>
      </c>
      <c r="G39" s="107">
        <f t="shared" si="0"/>
        <v>1024</v>
      </c>
      <c r="H39" s="113">
        <f t="shared" si="1"/>
        <v>21239.317437553364</v>
      </c>
      <c r="I39" s="23"/>
    </row>
    <row r="40" spans="1:9" ht="26.25" customHeight="1">
      <c r="A40" s="22">
        <v>2</v>
      </c>
      <c r="B40" s="73" t="s">
        <v>50</v>
      </c>
      <c r="C40" s="26"/>
      <c r="D40" s="26"/>
      <c r="E40" s="25"/>
      <c r="F40" s="25"/>
      <c r="G40" s="22"/>
      <c r="H40" s="113">
        <f t="shared" si="1"/>
        <v>0</v>
      </c>
      <c r="I40" s="23"/>
    </row>
    <row r="41" spans="1:9" ht="12.75">
      <c r="A41" s="23"/>
      <c r="B41" s="23" t="s">
        <v>30</v>
      </c>
      <c r="C41" s="26" t="s">
        <v>53</v>
      </c>
      <c r="D41" s="26">
        <v>120</v>
      </c>
      <c r="E41" s="105">
        <v>24</v>
      </c>
      <c r="F41" s="105">
        <v>0.23</v>
      </c>
      <c r="G41" s="106">
        <f>D41*E41*F41</f>
        <v>662.4</v>
      </c>
      <c r="H41" s="113">
        <f t="shared" si="1"/>
        <v>13739.183467417331</v>
      </c>
      <c r="I41" s="23"/>
    </row>
    <row r="42" spans="1:9" ht="12.75">
      <c r="A42" s="22"/>
      <c r="B42" s="23" t="s">
        <v>31</v>
      </c>
      <c r="C42" s="26" t="s">
        <v>53</v>
      </c>
      <c r="D42" s="26">
        <v>92.5</v>
      </c>
      <c r="E42" s="105">
        <v>24</v>
      </c>
      <c r="F42" s="105">
        <v>0.23</v>
      </c>
      <c r="G42" s="106">
        <f aca="true" t="shared" si="2" ref="G42:G64">D42*E42*F42</f>
        <v>510.6</v>
      </c>
      <c r="H42" s="113">
        <f t="shared" si="1"/>
        <v>10590.620589467528</v>
      </c>
      <c r="I42" s="23"/>
    </row>
    <row r="43" spans="1:9" ht="12.75">
      <c r="A43" s="22"/>
      <c r="B43" s="23" t="s">
        <v>32</v>
      </c>
      <c r="C43" s="26" t="s">
        <v>53</v>
      </c>
      <c r="D43" s="26">
        <v>77.52</v>
      </c>
      <c r="E43" s="105">
        <v>24</v>
      </c>
      <c r="F43" s="105">
        <v>0.23</v>
      </c>
      <c r="G43" s="106">
        <f t="shared" si="2"/>
        <v>427.91040000000004</v>
      </c>
      <c r="H43" s="113">
        <f t="shared" si="1"/>
        <v>8875.512519951597</v>
      </c>
      <c r="I43" s="23"/>
    </row>
    <row r="44" spans="1:9" ht="12.75">
      <c r="A44" s="22"/>
      <c r="B44" s="23" t="s">
        <v>33</v>
      </c>
      <c r="C44" s="26" t="s">
        <v>53</v>
      </c>
      <c r="D44" s="26">
        <v>10.5</v>
      </c>
      <c r="E44" s="105">
        <v>24</v>
      </c>
      <c r="F44" s="105">
        <v>0.23</v>
      </c>
      <c r="G44" s="106">
        <f t="shared" si="2"/>
        <v>57.96</v>
      </c>
      <c r="H44" s="113">
        <f t="shared" si="1"/>
        <v>1202.1785533990167</v>
      </c>
      <c r="I44" s="23"/>
    </row>
    <row r="45" spans="1:9" ht="12.75">
      <c r="A45" s="22"/>
      <c r="B45" s="23" t="s">
        <v>34</v>
      </c>
      <c r="C45" s="26" t="s">
        <v>53</v>
      </c>
      <c r="D45" s="26">
        <v>70.26</v>
      </c>
      <c r="E45" s="105">
        <v>24</v>
      </c>
      <c r="F45" s="105">
        <v>0.23</v>
      </c>
      <c r="G45" s="106">
        <f t="shared" si="2"/>
        <v>387.83520000000004</v>
      </c>
      <c r="H45" s="113">
        <f t="shared" si="1"/>
        <v>8044.291920172849</v>
      </c>
      <c r="I45" s="23"/>
    </row>
    <row r="46" spans="1:9" ht="12.75">
      <c r="A46" s="22"/>
      <c r="B46" s="23" t="s">
        <v>35</v>
      </c>
      <c r="C46" s="26" t="s">
        <v>53</v>
      </c>
      <c r="D46" s="26">
        <v>40.26</v>
      </c>
      <c r="E46" s="105">
        <v>24</v>
      </c>
      <c r="F46" s="105">
        <v>0.23</v>
      </c>
      <c r="G46" s="106">
        <f t="shared" si="2"/>
        <v>222.23520000000002</v>
      </c>
      <c r="H46" s="113">
        <f t="shared" si="1"/>
        <v>4609.496053318515</v>
      </c>
      <c r="I46" s="23"/>
    </row>
    <row r="47" spans="1:9" ht="12.75">
      <c r="A47" s="22"/>
      <c r="B47" s="23" t="s">
        <v>36</v>
      </c>
      <c r="C47" s="26" t="s">
        <v>53</v>
      </c>
      <c r="D47" s="26">
        <v>66</v>
      </c>
      <c r="E47" s="105">
        <v>24</v>
      </c>
      <c r="F47" s="105">
        <v>0.23</v>
      </c>
      <c r="G47" s="106">
        <f t="shared" si="2"/>
        <v>364.32</v>
      </c>
      <c r="H47" s="113">
        <f t="shared" si="1"/>
        <v>7556.550907079532</v>
      </c>
      <c r="I47" s="23"/>
    </row>
    <row r="48" spans="1:9" ht="12.75">
      <c r="A48" s="22"/>
      <c r="B48" s="23" t="s">
        <v>37</v>
      </c>
      <c r="C48" s="26" t="s">
        <v>53</v>
      </c>
      <c r="D48" s="28">
        <v>19.8</v>
      </c>
      <c r="E48" s="105">
        <v>24</v>
      </c>
      <c r="F48" s="105">
        <v>0.23</v>
      </c>
      <c r="G48" s="106">
        <f t="shared" si="2"/>
        <v>109.29600000000002</v>
      </c>
      <c r="H48" s="113">
        <f t="shared" si="1"/>
        <v>2266.9652721238604</v>
      </c>
      <c r="I48" s="23"/>
    </row>
    <row r="49" spans="1:9" ht="12.75">
      <c r="A49" s="22"/>
      <c r="B49" s="23" t="s">
        <v>38</v>
      </c>
      <c r="C49" s="26" t="s">
        <v>53</v>
      </c>
      <c r="D49" s="26">
        <v>28.8</v>
      </c>
      <c r="E49" s="105">
        <v>24</v>
      </c>
      <c r="F49" s="105">
        <v>0.23</v>
      </c>
      <c r="G49" s="106">
        <f t="shared" si="2"/>
        <v>158.97600000000003</v>
      </c>
      <c r="H49" s="113">
        <f t="shared" si="1"/>
        <v>3297.4040321801604</v>
      </c>
      <c r="I49" s="23"/>
    </row>
    <row r="50" spans="1:9" ht="12.75">
      <c r="A50" s="22"/>
      <c r="B50" s="23" t="s">
        <v>39</v>
      </c>
      <c r="C50" s="26" t="s">
        <v>53</v>
      </c>
      <c r="D50" s="26">
        <v>20</v>
      </c>
      <c r="E50" s="105">
        <v>24</v>
      </c>
      <c r="F50" s="105">
        <v>0.23</v>
      </c>
      <c r="G50" s="106">
        <f t="shared" si="2"/>
        <v>110.4</v>
      </c>
      <c r="H50" s="113">
        <f t="shared" si="1"/>
        <v>2289.863911236222</v>
      </c>
      <c r="I50" s="23"/>
    </row>
    <row r="51" spans="1:9" ht="12.75">
      <c r="A51" s="22"/>
      <c r="B51" s="23" t="s">
        <v>54</v>
      </c>
      <c r="C51" s="26" t="s">
        <v>53</v>
      </c>
      <c r="D51" s="26">
        <v>36.68</v>
      </c>
      <c r="E51" s="105">
        <v>24</v>
      </c>
      <c r="F51" s="105">
        <v>0.23</v>
      </c>
      <c r="G51" s="106">
        <f t="shared" si="2"/>
        <v>202.4736</v>
      </c>
      <c r="H51" s="113">
        <f t="shared" si="1"/>
        <v>4199.610413207231</v>
      </c>
      <c r="I51" s="23"/>
    </row>
    <row r="52" spans="1:9" ht="12.75">
      <c r="A52" s="22"/>
      <c r="B52" s="23" t="s">
        <v>55</v>
      </c>
      <c r="C52" s="26" t="s">
        <v>53</v>
      </c>
      <c r="D52" s="26">
        <v>11.57</v>
      </c>
      <c r="E52" s="105">
        <v>24</v>
      </c>
      <c r="F52" s="105">
        <v>0.23</v>
      </c>
      <c r="G52" s="106">
        <f t="shared" si="2"/>
        <v>63.866400000000006</v>
      </c>
      <c r="H52" s="113">
        <f t="shared" si="1"/>
        <v>1324.6862726501545</v>
      </c>
      <c r="I52" s="23"/>
    </row>
    <row r="53" spans="1:9" ht="12.75">
      <c r="A53" s="22"/>
      <c r="B53" s="23" t="s">
        <v>56</v>
      </c>
      <c r="C53" s="26" t="s">
        <v>53</v>
      </c>
      <c r="D53" s="26">
        <v>11.42</v>
      </c>
      <c r="E53" s="105">
        <v>24</v>
      </c>
      <c r="F53" s="105">
        <v>0.23</v>
      </c>
      <c r="G53" s="106">
        <f t="shared" si="2"/>
        <v>63.038399999999996</v>
      </c>
      <c r="H53" s="113">
        <f t="shared" si="1"/>
        <v>1307.5122933158827</v>
      </c>
      <c r="I53" s="23"/>
    </row>
    <row r="54" spans="1:9" ht="12.75">
      <c r="A54" s="22"/>
      <c r="B54" s="23" t="s">
        <v>57</v>
      </c>
      <c r="C54" s="26" t="s">
        <v>53</v>
      </c>
      <c r="D54" s="26">
        <v>6.12</v>
      </c>
      <c r="E54" s="105">
        <v>24</v>
      </c>
      <c r="F54" s="105">
        <v>0.23</v>
      </c>
      <c r="G54" s="106">
        <f t="shared" si="2"/>
        <v>33.7824</v>
      </c>
      <c r="H54" s="113">
        <f t="shared" si="1"/>
        <v>700.698356838284</v>
      </c>
      <c r="I54" s="23"/>
    </row>
    <row r="55" spans="1:9" ht="25.5" customHeight="1">
      <c r="A55" s="22">
        <v>3</v>
      </c>
      <c r="B55" s="73" t="s">
        <v>345</v>
      </c>
      <c r="C55" s="26"/>
      <c r="D55" s="26"/>
      <c r="E55" s="105"/>
      <c r="F55" s="105"/>
      <c r="G55" s="106"/>
      <c r="H55" s="113">
        <f t="shared" si="1"/>
        <v>0</v>
      </c>
      <c r="I55" s="23"/>
    </row>
    <row r="56" spans="1:9" ht="12.75">
      <c r="A56" s="22"/>
      <c r="B56" s="29" t="s">
        <v>346</v>
      </c>
      <c r="C56" s="26"/>
      <c r="D56" s="26"/>
      <c r="E56" s="108"/>
      <c r="F56" s="108"/>
      <c r="G56" s="106"/>
      <c r="H56" s="113">
        <f t="shared" si="1"/>
        <v>0</v>
      </c>
      <c r="I56" s="23"/>
    </row>
    <row r="57" spans="1:9" ht="12.75">
      <c r="A57" s="22"/>
      <c r="B57" s="23" t="s">
        <v>347</v>
      </c>
      <c r="C57" s="26" t="s">
        <v>53</v>
      </c>
      <c r="D57" s="26">
        <v>116.55</v>
      </c>
      <c r="E57" s="108">
        <v>24</v>
      </c>
      <c r="F57" s="108">
        <v>0.23</v>
      </c>
      <c r="G57" s="106">
        <f t="shared" si="2"/>
        <v>643.356</v>
      </c>
      <c r="H57" s="113">
        <f t="shared" si="1"/>
        <v>13344.181942729083</v>
      </c>
      <c r="I57" s="23"/>
    </row>
    <row r="58" spans="1:9" ht="12.75">
      <c r="A58" s="22"/>
      <c r="B58" s="23" t="s">
        <v>348</v>
      </c>
      <c r="C58" s="26" t="s">
        <v>53</v>
      </c>
      <c r="D58" s="26">
        <v>163.212</v>
      </c>
      <c r="E58" s="108">
        <v>24</v>
      </c>
      <c r="F58" s="108">
        <v>0.23</v>
      </c>
      <c r="G58" s="106">
        <f t="shared" si="2"/>
        <v>900.93024</v>
      </c>
      <c r="H58" s="113">
        <f t="shared" si="1"/>
        <v>18686.663434034315</v>
      </c>
      <c r="I58" s="23"/>
    </row>
    <row r="59" spans="1:9" ht="12.75">
      <c r="A59" s="22"/>
      <c r="B59" s="23" t="s">
        <v>349</v>
      </c>
      <c r="C59" s="26" t="s">
        <v>53</v>
      </c>
      <c r="D59" s="26">
        <v>67.428</v>
      </c>
      <c r="E59" s="108">
        <v>24</v>
      </c>
      <c r="F59" s="108">
        <v>0.23</v>
      </c>
      <c r="G59" s="106">
        <f t="shared" si="2"/>
        <v>372.20256</v>
      </c>
      <c r="H59" s="113">
        <f t="shared" si="1"/>
        <v>7720.047190341799</v>
      </c>
      <c r="I59" s="23"/>
    </row>
    <row r="60" spans="1:9" ht="12.75">
      <c r="A60" s="22"/>
      <c r="B60" s="23" t="s">
        <v>350</v>
      </c>
      <c r="C60" s="26" t="s">
        <v>53</v>
      </c>
      <c r="D60" s="26">
        <v>109.488</v>
      </c>
      <c r="E60" s="108">
        <v>24</v>
      </c>
      <c r="F60" s="108">
        <v>0.23</v>
      </c>
      <c r="G60" s="106">
        <f t="shared" si="2"/>
        <v>604.3737600000001</v>
      </c>
      <c r="H60" s="113">
        <f t="shared" si="1"/>
        <v>12535.630995671576</v>
      </c>
      <c r="I60" s="23"/>
    </row>
    <row r="61" spans="1:9" ht="24.75" customHeight="1">
      <c r="A61" s="22">
        <v>4</v>
      </c>
      <c r="B61" s="74" t="s">
        <v>351</v>
      </c>
      <c r="C61" s="42" t="s">
        <v>58</v>
      </c>
      <c r="D61" s="42">
        <v>556.4</v>
      </c>
      <c r="E61" s="25">
        <v>12</v>
      </c>
      <c r="F61" s="25">
        <v>0.25</v>
      </c>
      <c r="G61" s="109">
        <f t="shared" si="2"/>
        <v>1669.1999999999998</v>
      </c>
      <c r="H61" s="113">
        <f t="shared" si="1"/>
        <v>34621.74674488679</v>
      </c>
      <c r="I61" s="23"/>
    </row>
    <row r="62" spans="1:9" ht="15" customHeight="1">
      <c r="A62" s="22">
        <v>5</v>
      </c>
      <c r="B62" s="23" t="s">
        <v>59</v>
      </c>
      <c r="C62" s="26" t="s">
        <v>225</v>
      </c>
      <c r="D62" s="26">
        <v>100</v>
      </c>
      <c r="E62" s="25">
        <v>1</v>
      </c>
      <c r="F62" s="25">
        <v>0.4</v>
      </c>
      <c r="G62" s="110">
        <f t="shared" si="2"/>
        <v>40</v>
      </c>
      <c r="H62" s="113">
        <f t="shared" si="1"/>
        <v>829.6608374044283</v>
      </c>
      <c r="I62" s="23"/>
    </row>
    <row r="63" spans="1:9" ht="24" customHeight="1">
      <c r="A63" s="22">
        <v>6</v>
      </c>
      <c r="B63" s="27" t="s">
        <v>224</v>
      </c>
      <c r="C63" s="26" t="s">
        <v>53</v>
      </c>
      <c r="D63" s="26">
        <v>8.5</v>
      </c>
      <c r="E63" s="25">
        <v>12</v>
      </c>
      <c r="F63" s="25">
        <v>3.17</v>
      </c>
      <c r="G63" s="107">
        <f t="shared" si="2"/>
        <v>323.34</v>
      </c>
      <c r="H63" s="113">
        <f t="shared" si="1"/>
        <v>6706.563379158695</v>
      </c>
      <c r="I63" s="23"/>
    </row>
    <row r="64" spans="1:9" ht="17.25" customHeight="1">
      <c r="A64" s="22">
        <v>7</v>
      </c>
      <c r="B64" s="111" t="s">
        <v>412</v>
      </c>
      <c r="C64" s="23" t="s">
        <v>61</v>
      </c>
      <c r="D64" s="26">
        <f>24*6</f>
        <v>144</v>
      </c>
      <c r="E64" s="26">
        <v>1</v>
      </c>
      <c r="F64" s="26">
        <v>18</v>
      </c>
      <c r="G64" s="107">
        <f t="shared" si="2"/>
        <v>2592</v>
      </c>
      <c r="H64" s="113">
        <f t="shared" si="1"/>
        <v>53762.02226380695</v>
      </c>
      <c r="I64" s="23"/>
    </row>
    <row r="65" spans="1:9" ht="17.25" customHeight="1">
      <c r="A65" s="22"/>
      <c r="B65" s="29" t="s">
        <v>413</v>
      </c>
      <c r="C65" s="29"/>
      <c r="D65" s="30"/>
      <c r="E65" s="30"/>
      <c r="F65" s="30"/>
      <c r="G65" s="147">
        <f>SUM(G20:G64)</f>
        <v>26038.065440000002</v>
      </c>
      <c r="H65" s="131">
        <f>SUM(H20:H64)</f>
        <v>540069.0794335426</v>
      </c>
      <c r="I65" s="29"/>
    </row>
    <row r="66" spans="1:10" ht="12.75">
      <c r="A66" s="403" t="s">
        <v>15</v>
      </c>
      <c r="B66" s="404"/>
      <c r="C66" s="404"/>
      <c r="D66" s="404"/>
      <c r="E66" s="404"/>
      <c r="F66" s="404"/>
      <c r="G66" s="404"/>
      <c r="H66" s="404"/>
      <c r="I66" s="60"/>
      <c r="J66" s="148"/>
    </row>
    <row r="67" spans="1:10" ht="18.75" customHeight="1">
      <c r="A67" s="22">
        <v>1</v>
      </c>
      <c r="B67" s="23" t="s">
        <v>64</v>
      </c>
      <c r="C67" s="25" t="s">
        <v>65</v>
      </c>
      <c r="D67" s="24">
        <v>32.2</v>
      </c>
      <c r="E67" s="25">
        <v>12</v>
      </c>
      <c r="F67" s="25">
        <v>0.27</v>
      </c>
      <c r="G67" s="102">
        <f>D67*E67*F67</f>
        <v>104.32800000000002</v>
      </c>
      <c r="H67" s="113">
        <f>542233/26142*G67</f>
        <v>2163.9539600642647</v>
      </c>
      <c r="I67" s="23"/>
      <c r="J67" s="130"/>
    </row>
    <row r="68" spans="1:10" ht="20.25" customHeight="1">
      <c r="A68" s="22">
        <v>2</v>
      </c>
      <c r="B68" s="23" t="s">
        <v>226</v>
      </c>
      <c r="C68" s="25" t="s">
        <v>73</v>
      </c>
      <c r="D68" s="25">
        <f>68.75</f>
        <v>68.75</v>
      </c>
      <c r="E68" s="25"/>
      <c r="F68" s="25"/>
      <c r="G68" s="58"/>
      <c r="H68" s="53">
        <v>0</v>
      </c>
      <c r="I68" s="153" t="s">
        <v>431</v>
      </c>
      <c r="J68" s="130"/>
    </row>
    <row r="69" spans="1:256" s="35" customFormat="1" ht="17.25" customHeight="1">
      <c r="A69" s="22"/>
      <c r="B69" s="91" t="s">
        <v>119</v>
      </c>
      <c r="C69" s="42"/>
      <c r="D69" s="56"/>
      <c r="E69" s="69"/>
      <c r="F69" s="69"/>
      <c r="G69" s="132"/>
      <c r="H69" s="133">
        <f>H65+H67</f>
        <v>542233.0333936068</v>
      </c>
      <c r="I69" s="154"/>
      <c r="J69" s="32"/>
      <c r="K69" s="33"/>
      <c r="L69" s="33"/>
      <c r="M69" s="34"/>
      <c r="N69" s="34"/>
      <c r="O69" s="34"/>
      <c r="P69" s="34"/>
      <c r="Q69" s="31"/>
      <c r="R69" s="32"/>
      <c r="S69" s="33"/>
      <c r="T69" s="33"/>
      <c r="U69" s="34"/>
      <c r="V69" s="34"/>
      <c r="W69" s="34"/>
      <c r="X69" s="34"/>
      <c r="Y69" s="31"/>
      <c r="Z69" s="32"/>
      <c r="AA69" s="33"/>
      <c r="AB69" s="33"/>
      <c r="AC69" s="34"/>
      <c r="AD69" s="34"/>
      <c r="AE69" s="34"/>
      <c r="AF69" s="34"/>
      <c r="AG69" s="31"/>
      <c r="AH69" s="32"/>
      <c r="AI69" s="33"/>
      <c r="AJ69" s="33"/>
      <c r="AK69" s="34"/>
      <c r="AL69" s="34"/>
      <c r="AM69" s="34"/>
      <c r="AN69" s="34"/>
      <c r="AO69" s="31"/>
      <c r="AP69" s="32"/>
      <c r="AQ69" s="33"/>
      <c r="AR69" s="33"/>
      <c r="AS69" s="34"/>
      <c r="AT69" s="34"/>
      <c r="AU69" s="34"/>
      <c r="AV69" s="34"/>
      <c r="AW69" s="31"/>
      <c r="AX69" s="32"/>
      <c r="AY69" s="33"/>
      <c r="AZ69" s="33"/>
      <c r="BA69" s="34"/>
      <c r="BB69" s="34"/>
      <c r="BC69" s="34"/>
      <c r="BD69" s="34"/>
      <c r="BE69" s="31"/>
      <c r="BF69" s="32"/>
      <c r="BG69" s="33"/>
      <c r="BH69" s="33"/>
      <c r="BI69" s="34"/>
      <c r="BJ69" s="34"/>
      <c r="BK69" s="34"/>
      <c r="BL69" s="34"/>
      <c r="BM69" s="31"/>
      <c r="BN69" s="32"/>
      <c r="BO69" s="33"/>
      <c r="BP69" s="33"/>
      <c r="BQ69" s="34"/>
      <c r="BR69" s="34"/>
      <c r="BS69" s="34"/>
      <c r="BT69" s="34"/>
      <c r="BU69" s="31"/>
      <c r="BV69" s="32"/>
      <c r="BW69" s="33"/>
      <c r="BX69" s="33"/>
      <c r="BY69" s="34"/>
      <c r="BZ69" s="34"/>
      <c r="CA69" s="34"/>
      <c r="CB69" s="34"/>
      <c r="CC69" s="31"/>
      <c r="CD69" s="32"/>
      <c r="CE69" s="33"/>
      <c r="CF69" s="33"/>
      <c r="CG69" s="34"/>
      <c r="CH69" s="34"/>
      <c r="CI69" s="34"/>
      <c r="CJ69" s="34"/>
      <c r="CK69" s="31"/>
      <c r="CL69" s="32"/>
      <c r="CM69" s="33"/>
      <c r="CN69" s="33"/>
      <c r="CO69" s="34"/>
      <c r="CP69" s="34"/>
      <c r="CQ69" s="34"/>
      <c r="CR69" s="34"/>
      <c r="CS69" s="31"/>
      <c r="CT69" s="32"/>
      <c r="CU69" s="33"/>
      <c r="CV69" s="33"/>
      <c r="CW69" s="34"/>
      <c r="CX69" s="34"/>
      <c r="CY69" s="34"/>
      <c r="CZ69" s="34"/>
      <c r="DA69" s="31"/>
      <c r="DB69" s="32"/>
      <c r="DC69" s="33"/>
      <c r="DD69" s="33"/>
      <c r="DE69" s="34"/>
      <c r="DF69" s="34"/>
      <c r="DG69" s="34"/>
      <c r="DH69" s="34"/>
      <c r="DI69" s="31"/>
      <c r="DJ69" s="32"/>
      <c r="DK69" s="33"/>
      <c r="DL69" s="33"/>
      <c r="DM69" s="34"/>
      <c r="DN69" s="34"/>
      <c r="DO69" s="34"/>
      <c r="DP69" s="34"/>
      <c r="DQ69" s="31"/>
      <c r="DR69" s="32"/>
      <c r="DS69" s="33"/>
      <c r="DT69" s="33"/>
      <c r="DU69" s="34"/>
      <c r="DV69" s="34"/>
      <c r="DW69" s="34"/>
      <c r="DX69" s="34"/>
      <c r="DY69" s="31"/>
      <c r="DZ69" s="32"/>
      <c r="EA69" s="33"/>
      <c r="EB69" s="33"/>
      <c r="EC69" s="34"/>
      <c r="ED69" s="34"/>
      <c r="EE69" s="34"/>
      <c r="EF69" s="34"/>
      <c r="EG69" s="31"/>
      <c r="EH69" s="32"/>
      <c r="EI69" s="33"/>
      <c r="EJ69" s="33"/>
      <c r="EK69" s="34"/>
      <c r="EL69" s="34"/>
      <c r="EM69" s="34"/>
      <c r="EN69" s="34"/>
      <c r="EO69" s="31"/>
      <c r="EP69" s="32"/>
      <c r="EQ69" s="33"/>
      <c r="ER69" s="33"/>
      <c r="ES69" s="34"/>
      <c r="ET69" s="34"/>
      <c r="EU69" s="34"/>
      <c r="EV69" s="34"/>
      <c r="EW69" s="31"/>
      <c r="EX69" s="32"/>
      <c r="EY69" s="33"/>
      <c r="EZ69" s="33"/>
      <c r="FA69" s="34"/>
      <c r="FB69" s="34"/>
      <c r="FC69" s="34"/>
      <c r="FD69" s="34"/>
      <c r="FE69" s="31"/>
      <c r="FF69" s="32"/>
      <c r="FG69" s="33"/>
      <c r="FH69" s="33"/>
      <c r="FI69" s="34"/>
      <c r="FJ69" s="34"/>
      <c r="FK69" s="34"/>
      <c r="FL69" s="34"/>
      <c r="FM69" s="31"/>
      <c r="FN69" s="32"/>
      <c r="FO69" s="33"/>
      <c r="FP69" s="33"/>
      <c r="FQ69" s="34"/>
      <c r="FR69" s="34"/>
      <c r="FS69" s="34"/>
      <c r="FT69" s="34"/>
      <c r="FU69" s="31"/>
      <c r="FV69" s="32"/>
      <c r="FW69" s="33"/>
      <c r="FX69" s="33"/>
      <c r="FY69" s="34"/>
      <c r="FZ69" s="34"/>
      <c r="GA69" s="34"/>
      <c r="GB69" s="34"/>
      <c r="GC69" s="31"/>
      <c r="GD69" s="32"/>
      <c r="GE69" s="33"/>
      <c r="GF69" s="33"/>
      <c r="GG69" s="34"/>
      <c r="GH69" s="34"/>
      <c r="GI69" s="34"/>
      <c r="GJ69" s="34"/>
      <c r="GK69" s="31"/>
      <c r="GL69" s="32"/>
      <c r="GM69" s="33"/>
      <c r="GN69" s="33"/>
      <c r="GO69" s="34"/>
      <c r="GP69" s="34"/>
      <c r="GQ69" s="34"/>
      <c r="GR69" s="34"/>
      <c r="GS69" s="31"/>
      <c r="GT69" s="32"/>
      <c r="GU69" s="33"/>
      <c r="GV69" s="33"/>
      <c r="GW69" s="34"/>
      <c r="GX69" s="34"/>
      <c r="GY69" s="34"/>
      <c r="GZ69" s="34"/>
      <c r="HA69" s="31"/>
      <c r="HB69" s="32"/>
      <c r="HC69" s="33"/>
      <c r="HD69" s="33"/>
      <c r="HE69" s="34"/>
      <c r="HF69" s="34"/>
      <c r="HG69" s="34"/>
      <c r="HH69" s="34"/>
      <c r="HI69" s="31"/>
      <c r="HJ69" s="32"/>
      <c r="HK69" s="33"/>
      <c r="HL69" s="33"/>
      <c r="HM69" s="34"/>
      <c r="HN69" s="34"/>
      <c r="HO69" s="34"/>
      <c r="HP69" s="34"/>
      <c r="HQ69" s="31"/>
      <c r="HR69" s="32"/>
      <c r="HS69" s="33"/>
      <c r="HT69" s="33"/>
      <c r="HU69" s="34"/>
      <c r="HV69" s="34"/>
      <c r="HW69" s="34"/>
      <c r="HX69" s="34"/>
      <c r="HY69" s="31"/>
      <c r="HZ69" s="32"/>
      <c r="IA69" s="33"/>
      <c r="IB69" s="33"/>
      <c r="IC69" s="34"/>
      <c r="ID69" s="34"/>
      <c r="IE69" s="34"/>
      <c r="IF69" s="34"/>
      <c r="IG69" s="31"/>
      <c r="IH69" s="32"/>
      <c r="II69" s="33"/>
      <c r="IJ69" s="33"/>
      <c r="IK69" s="34"/>
      <c r="IL69" s="34"/>
      <c r="IM69" s="34"/>
      <c r="IN69" s="34"/>
      <c r="IO69" s="31"/>
      <c r="IP69" s="32"/>
      <c r="IQ69" s="33"/>
      <c r="IR69" s="33"/>
      <c r="IS69" s="34"/>
      <c r="IT69" s="34"/>
      <c r="IU69" s="34"/>
      <c r="IV69" s="34"/>
    </row>
    <row r="70" spans="1:256" s="35" customFormat="1" ht="16.5" customHeight="1">
      <c r="A70" s="22"/>
      <c r="B70" s="29" t="s">
        <v>241</v>
      </c>
      <c r="C70" s="26"/>
      <c r="D70" s="26"/>
      <c r="E70" s="25"/>
      <c r="F70" s="25"/>
      <c r="G70" s="57"/>
      <c r="H70" s="115"/>
      <c r="I70" s="154"/>
      <c r="J70" s="150"/>
      <c r="K70" s="33"/>
      <c r="L70" s="33"/>
      <c r="M70" s="34"/>
      <c r="N70" s="34"/>
      <c r="O70" s="37"/>
      <c r="P70" s="34"/>
      <c r="Q70" s="31"/>
      <c r="R70" s="32"/>
      <c r="S70" s="33"/>
      <c r="T70" s="33"/>
      <c r="U70" s="34"/>
      <c r="V70" s="34"/>
      <c r="W70" s="37"/>
      <c r="X70" s="34"/>
      <c r="Y70" s="31"/>
      <c r="Z70" s="32"/>
      <c r="AA70" s="33"/>
      <c r="AB70" s="33"/>
      <c r="AC70" s="34"/>
      <c r="AD70" s="34"/>
      <c r="AE70" s="37"/>
      <c r="AF70" s="34"/>
      <c r="AG70" s="31"/>
      <c r="AH70" s="32"/>
      <c r="AI70" s="33"/>
      <c r="AJ70" s="33"/>
      <c r="AK70" s="34"/>
      <c r="AL70" s="34"/>
      <c r="AM70" s="37"/>
      <c r="AN70" s="34"/>
      <c r="AO70" s="31"/>
      <c r="AP70" s="32"/>
      <c r="AQ70" s="33"/>
      <c r="AR70" s="33"/>
      <c r="AS70" s="34"/>
      <c r="AT70" s="34"/>
      <c r="AU70" s="37"/>
      <c r="AV70" s="34"/>
      <c r="AW70" s="31"/>
      <c r="AX70" s="32"/>
      <c r="AY70" s="33"/>
      <c r="AZ70" s="33"/>
      <c r="BA70" s="34"/>
      <c r="BB70" s="34"/>
      <c r="BC70" s="37"/>
      <c r="BD70" s="34"/>
      <c r="BE70" s="31"/>
      <c r="BF70" s="32"/>
      <c r="BG70" s="33"/>
      <c r="BH70" s="33"/>
      <c r="BI70" s="34"/>
      <c r="BJ70" s="34"/>
      <c r="BK70" s="37"/>
      <c r="BL70" s="34"/>
      <c r="BM70" s="31"/>
      <c r="BN70" s="32"/>
      <c r="BO70" s="33"/>
      <c r="BP70" s="33"/>
      <c r="BQ70" s="34"/>
      <c r="BR70" s="34"/>
      <c r="BS70" s="37"/>
      <c r="BT70" s="34"/>
      <c r="BU70" s="31"/>
      <c r="BV70" s="32"/>
      <c r="BW70" s="33"/>
      <c r="BX70" s="33"/>
      <c r="BY70" s="34"/>
      <c r="BZ70" s="34"/>
      <c r="CA70" s="37"/>
      <c r="CB70" s="34"/>
      <c r="CC70" s="31"/>
      <c r="CD70" s="32"/>
      <c r="CE70" s="33"/>
      <c r="CF70" s="33"/>
      <c r="CG70" s="34"/>
      <c r="CH70" s="34"/>
      <c r="CI70" s="37"/>
      <c r="CJ70" s="34"/>
      <c r="CK70" s="31"/>
      <c r="CL70" s="32"/>
      <c r="CM70" s="33"/>
      <c r="CN70" s="33"/>
      <c r="CO70" s="34"/>
      <c r="CP70" s="34"/>
      <c r="CQ70" s="37"/>
      <c r="CR70" s="34"/>
      <c r="CS70" s="31"/>
      <c r="CT70" s="32"/>
      <c r="CU70" s="33"/>
      <c r="CV70" s="33"/>
      <c r="CW70" s="34"/>
      <c r="CX70" s="34"/>
      <c r="CY70" s="37"/>
      <c r="CZ70" s="34"/>
      <c r="DA70" s="31"/>
      <c r="DB70" s="32"/>
      <c r="DC70" s="33"/>
      <c r="DD70" s="33"/>
      <c r="DE70" s="34"/>
      <c r="DF70" s="34"/>
      <c r="DG70" s="37"/>
      <c r="DH70" s="34"/>
      <c r="DI70" s="31"/>
      <c r="DJ70" s="32"/>
      <c r="DK70" s="33"/>
      <c r="DL70" s="33"/>
      <c r="DM70" s="34"/>
      <c r="DN70" s="34"/>
      <c r="DO70" s="37"/>
      <c r="DP70" s="34"/>
      <c r="DQ70" s="31"/>
      <c r="DR70" s="32"/>
      <c r="DS70" s="33"/>
      <c r="DT70" s="33"/>
      <c r="DU70" s="34"/>
      <c r="DV70" s="34"/>
      <c r="DW70" s="37"/>
      <c r="DX70" s="34"/>
      <c r="DY70" s="31"/>
      <c r="DZ70" s="32"/>
      <c r="EA70" s="33"/>
      <c r="EB70" s="33"/>
      <c r="EC70" s="34"/>
      <c r="ED70" s="34"/>
      <c r="EE70" s="37"/>
      <c r="EF70" s="34"/>
      <c r="EG70" s="31"/>
      <c r="EH70" s="32"/>
      <c r="EI70" s="33"/>
      <c r="EJ70" s="33"/>
      <c r="EK70" s="34"/>
      <c r="EL70" s="34"/>
      <c r="EM70" s="37"/>
      <c r="EN70" s="34"/>
      <c r="EO70" s="31"/>
      <c r="EP70" s="32"/>
      <c r="EQ70" s="33"/>
      <c r="ER70" s="33"/>
      <c r="ES70" s="34"/>
      <c r="ET70" s="34"/>
      <c r="EU70" s="37"/>
      <c r="EV70" s="34"/>
      <c r="EW70" s="31"/>
      <c r="EX70" s="32"/>
      <c r="EY70" s="33"/>
      <c r="EZ70" s="33"/>
      <c r="FA70" s="34"/>
      <c r="FB70" s="34"/>
      <c r="FC70" s="37"/>
      <c r="FD70" s="34"/>
      <c r="FE70" s="31"/>
      <c r="FF70" s="32"/>
      <c r="FG70" s="33"/>
      <c r="FH70" s="33"/>
      <c r="FI70" s="34"/>
      <c r="FJ70" s="34"/>
      <c r="FK70" s="37"/>
      <c r="FL70" s="34"/>
      <c r="FM70" s="31"/>
      <c r="FN70" s="32"/>
      <c r="FO70" s="33"/>
      <c r="FP70" s="33"/>
      <c r="FQ70" s="34"/>
      <c r="FR70" s="34"/>
      <c r="FS70" s="37"/>
      <c r="FT70" s="34"/>
      <c r="FU70" s="31"/>
      <c r="FV70" s="32"/>
      <c r="FW70" s="33"/>
      <c r="FX70" s="33"/>
      <c r="FY70" s="34"/>
      <c r="FZ70" s="34"/>
      <c r="GA70" s="37"/>
      <c r="GB70" s="34"/>
      <c r="GC70" s="31"/>
      <c r="GD70" s="32"/>
      <c r="GE70" s="33"/>
      <c r="GF70" s="33"/>
      <c r="GG70" s="34"/>
      <c r="GH70" s="34"/>
      <c r="GI70" s="37"/>
      <c r="GJ70" s="34"/>
      <c r="GK70" s="31"/>
      <c r="GL70" s="32"/>
      <c r="GM70" s="33"/>
      <c r="GN70" s="33"/>
      <c r="GO70" s="34"/>
      <c r="GP70" s="34"/>
      <c r="GQ70" s="37"/>
      <c r="GR70" s="34"/>
      <c r="GS70" s="31"/>
      <c r="GT70" s="32"/>
      <c r="GU70" s="33"/>
      <c r="GV70" s="33"/>
      <c r="GW70" s="34"/>
      <c r="GX70" s="34"/>
      <c r="GY70" s="37"/>
      <c r="GZ70" s="34"/>
      <c r="HA70" s="31"/>
      <c r="HB70" s="32"/>
      <c r="HC70" s="33"/>
      <c r="HD70" s="33"/>
      <c r="HE70" s="34"/>
      <c r="HF70" s="34"/>
      <c r="HG70" s="37"/>
      <c r="HH70" s="34"/>
      <c r="HI70" s="31"/>
      <c r="HJ70" s="32"/>
      <c r="HK70" s="33"/>
      <c r="HL70" s="33"/>
      <c r="HM70" s="34"/>
      <c r="HN70" s="34"/>
      <c r="HO70" s="37"/>
      <c r="HP70" s="34"/>
      <c r="HQ70" s="31"/>
      <c r="HR70" s="32"/>
      <c r="HS70" s="33"/>
      <c r="HT70" s="33"/>
      <c r="HU70" s="34"/>
      <c r="HV70" s="34"/>
      <c r="HW70" s="37"/>
      <c r="HX70" s="34"/>
      <c r="HY70" s="31"/>
      <c r="HZ70" s="32"/>
      <c r="IA70" s="33"/>
      <c r="IB70" s="33"/>
      <c r="IC70" s="34"/>
      <c r="ID70" s="34"/>
      <c r="IE70" s="37"/>
      <c r="IF70" s="34"/>
      <c r="IG70" s="31"/>
      <c r="IH70" s="32"/>
      <c r="II70" s="33"/>
      <c r="IJ70" s="33"/>
      <c r="IK70" s="34"/>
      <c r="IL70" s="34"/>
      <c r="IM70" s="37"/>
      <c r="IN70" s="34"/>
      <c r="IO70" s="31"/>
      <c r="IP70" s="32"/>
      <c r="IQ70" s="33"/>
      <c r="IR70" s="33"/>
      <c r="IS70" s="34"/>
      <c r="IT70" s="34"/>
      <c r="IU70" s="37"/>
      <c r="IV70" s="34"/>
    </row>
    <row r="71" spans="1:256" s="35" customFormat="1" ht="23.25" customHeight="1">
      <c r="A71" s="22"/>
      <c r="B71" s="23" t="s">
        <v>232</v>
      </c>
      <c r="C71" s="26" t="s">
        <v>80</v>
      </c>
      <c r="D71" s="26">
        <v>60</v>
      </c>
      <c r="E71" s="25"/>
      <c r="F71" s="25"/>
      <c r="G71" s="110">
        <v>0</v>
      </c>
      <c r="H71" s="53">
        <v>0</v>
      </c>
      <c r="I71" s="153" t="s">
        <v>432</v>
      </c>
      <c r="J71" s="32"/>
      <c r="K71" s="33"/>
      <c r="L71" s="33"/>
      <c r="M71" s="34"/>
      <c r="N71" s="34"/>
      <c r="O71" s="37"/>
      <c r="P71" s="34"/>
      <c r="Q71" s="31"/>
      <c r="R71" s="32"/>
      <c r="S71" s="33"/>
      <c r="T71" s="33"/>
      <c r="U71" s="34"/>
      <c r="V71" s="34"/>
      <c r="W71" s="37"/>
      <c r="X71" s="34"/>
      <c r="Y71" s="31"/>
      <c r="Z71" s="32"/>
      <c r="AA71" s="33"/>
      <c r="AB71" s="33"/>
      <c r="AC71" s="34"/>
      <c r="AD71" s="34"/>
      <c r="AE71" s="37"/>
      <c r="AF71" s="34"/>
      <c r="AG71" s="31"/>
      <c r="AH71" s="32"/>
      <c r="AI71" s="33"/>
      <c r="AJ71" s="33"/>
      <c r="AK71" s="34"/>
      <c r="AL71" s="34"/>
      <c r="AM71" s="37"/>
      <c r="AN71" s="34"/>
      <c r="AO71" s="31"/>
      <c r="AP71" s="32"/>
      <c r="AQ71" s="33"/>
      <c r="AR71" s="33"/>
      <c r="AS71" s="34"/>
      <c r="AT71" s="34"/>
      <c r="AU71" s="37"/>
      <c r="AV71" s="34"/>
      <c r="AW71" s="31"/>
      <c r="AX71" s="32"/>
      <c r="AY71" s="33"/>
      <c r="AZ71" s="33"/>
      <c r="BA71" s="34"/>
      <c r="BB71" s="34"/>
      <c r="BC71" s="37"/>
      <c r="BD71" s="34"/>
      <c r="BE71" s="31"/>
      <c r="BF71" s="32"/>
      <c r="BG71" s="33"/>
      <c r="BH71" s="33"/>
      <c r="BI71" s="34"/>
      <c r="BJ71" s="34"/>
      <c r="BK71" s="37"/>
      <c r="BL71" s="34"/>
      <c r="BM71" s="31"/>
      <c r="BN71" s="32"/>
      <c r="BO71" s="33"/>
      <c r="BP71" s="33"/>
      <c r="BQ71" s="34"/>
      <c r="BR71" s="34"/>
      <c r="BS71" s="37"/>
      <c r="BT71" s="34"/>
      <c r="BU71" s="31"/>
      <c r="BV71" s="32"/>
      <c r="BW71" s="33"/>
      <c r="BX71" s="33"/>
      <c r="BY71" s="34"/>
      <c r="BZ71" s="34"/>
      <c r="CA71" s="37"/>
      <c r="CB71" s="34"/>
      <c r="CC71" s="31"/>
      <c r="CD71" s="32"/>
      <c r="CE71" s="33"/>
      <c r="CF71" s="33"/>
      <c r="CG71" s="34"/>
      <c r="CH71" s="34"/>
      <c r="CI71" s="37"/>
      <c r="CJ71" s="34"/>
      <c r="CK71" s="31"/>
      <c r="CL71" s="32"/>
      <c r="CM71" s="33"/>
      <c r="CN71" s="33"/>
      <c r="CO71" s="34"/>
      <c r="CP71" s="34"/>
      <c r="CQ71" s="37"/>
      <c r="CR71" s="34"/>
      <c r="CS71" s="31"/>
      <c r="CT71" s="32"/>
      <c r="CU71" s="33"/>
      <c r="CV71" s="33"/>
      <c r="CW71" s="34"/>
      <c r="CX71" s="34"/>
      <c r="CY71" s="37"/>
      <c r="CZ71" s="34"/>
      <c r="DA71" s="31"/>
      <c r="DB71" s="32"/>
      <c r="DC71" s="33"/>
      <c r="DD71" s="33"/>
      <c r="DE71" s="34"/>
      <c r="DF71" s="34"/>
      <c r="DG71" s="37"/>
      <c r="DH71" s="34"/>
      <c r="DI71" s="31"/>
      <c r="DJ71" s="32"/>
      <c r="DK71" s="33"/>
      <c r="DL71" s="33"/>
      <c r="DM71" s="34"/>
      <c r="DN71" s="34"/>
      <c r="DO71" s="37"/>
      <c r="DP71" s="34"/>
      <c r="DQ71" s="31"/>
      <c r="DR71" s="32"/>
      <c r="DS71" s="33"/>
      <c r="DT71" s="33"/>
      <c r="DU71" s="34"/>
      <c r="DV71" s="34"/>
      <c r="DW71" s="37"/>
      <c r="DX71" s="34"/>
      <c r="DY71" s="31"/>
      <c r="DZ71" s="32"/>
      <c r="EA71" s="33"/>
      <c r="EB71" s="33"/>
      <c r="EC71" s="34"/>
      <c r="ED71" s="34"/>
      <c r="EE71" s="37"/>
      <c r="EF71" s="34"/>
      <c r="EG71" s="31"/>
      <c r="EH71" s="32"/>
      <c r="EI71" s="33"/>
      <c r="EJ71" s="33"/>
      <c r="EK71" s="34"/>
      <c r="EL71" s="34"/>
      <c r="EM71" s="37"/>
      <c r="EN71" s="34"/>
      <c r="EO71" s="31"/>
      <c r="EP71" s="32"/>
      <c r="EQ71" s="33"/>
      <c r="ER71" s="33"/>
      <c r="ES71" s="34"/>
      <c r="ET71" s="34"/>
      <c r="EU71" s="37"/>
      <c r="EV71" s="34"/>
      <c r="EW71" s="31"/>
      <c r="EX71" s="32"/>
      <c r="EY71" s="33"/>
      <c r="EZ71" s="33"/>
      <c r="FA71" s="34"/>
      <c r="FB71" s="34"/>
      <c r="FC71" s="37"/>
      <c r="FD71" s="34"/>
      <c r="FE71" s="31"/>
      <c r="FF71" s="32"/>
      <c r="FG71" s="33"/>
      <c r="FH71" s="33"/>
      <c r="FI71" s="34"/>
      <c r="FJ71" s="34"/>
      <c r="FK71" s="37"/>
      <c r="FL71" s="34"/>
      <c r="FM71" s="31"/>
      <c r="FN71" s="32"/>
      <c r="FO71" s="33"/>
      <c r="FP71" s="33"/>
      <c r="FQ71" s="34"/>
      <c r="FR71" s="34"/>
      <c r="FS71" s="37"/>
      <c r="FT71" s="34"/>
      <c r="FU71" s="31"/>
      <c r="FV71" s="32"/>
      <c r="FW71" s="33"/>
      <c r="FX71" s="33"/>
      <c r="FY71" s="34"/>
      <c r="FZ71" s="34"/>
      <c r="GA71" s="37"/>
      <c r="GB71" s="34"/>
      <c r="GC71" s="31"/>
      <c r="GD71" s="32"/>
      <c r="GE71" s="33"/>
      <c r="GF71" s="33"/>
      <c r="GG71" s="34"/>
      <c r="GH71" s="34"/>
      <c r="GI71" s="37"/>
      <c r="GJ71" s="34"/>
      <c r="GK71" s="31"/>
      <c r="GL71" s="32"/>
      <c r="GM71" s="33"/>
      <c r="GN71" s="33"/>
      <c r="GO71" s="34"/>
      <c r="GP71" s="34"/>
      <c r="GQ71" s="37"/>
      <c r="GR71" s="34"/>
      <c r="GS71" s="31"/>
      <c r="GT71" s="32"/>
      <c r="GU71" s="33"/>
      <c r="GV71" s="33"/>
      <c r="GW71" s="34"/>
      <c r="GX71" s="34"/>
      <c r="GY71" s="37"/>
      <c r="GZ71" s="34"/>
      <c r="HA71" s="31"/>
      <c r="HB71" s="32"/>
      <c r="HC71" s="33"/>
      <c r="HD71" s="33"/>
      <c r="HE71" s="34"/>
      <c r="HF71" s="34"/>
      <c r="HG71" s="37"/>
      <c r="HH71" s="34"/>
      <c r="HI71" s="31"/>
      <c r="HJ71" s="32"/>
      <c r="HK71" s="33"/>
      <c r="HL71" s="33"/>
      <c r="HM71" s="34"/>
      <c r="HN71" s="34"/>
      <c r="HO71" s="37"/>
      <c r="HP71" s="34"/>
      <c r="HQ71" s="31"/>
      <c r="HR71" s="32"/>
      <c r="HS71" s="33"/>
      <c r="HT71" s="33"/>
      <c r="HU71" s="34"/>
      <c r="HV71" s="34"/>
      <c r="HW71" s="37"/>
      <c r="HX71" s="34"/>
      <c r="HY71" s="31"/>
      <c r="HZ71" s="32"/>
      <c r="IA71" s="33"/>
      <c r="IB71" s="33"/>
      <c r="IC71" s="34"/>
      <c r="ID71" s="34"/>
      <c r="IE71" s="37"/>
      <c r="IF71" s="34"/>
      <c r="IG71" s="31"/>
      <c r="IH71" s="32"/>
      <c r="II71" s="33"/>
      <c r="IJ71" s="33"/>
      <c r="IK71" s="34"/>
      <c r="IL71" s="34"/>
      <c r="IM71" s="37"/>
      <c r="IN71" s="34"/>
      <c r="IO71" s="31"/>
      <c r="IP71" s="32"/>
      <c r="IQ71" s="33"/>
      <c r="IR71" s="33"/>
      <c r="IS71" s="34"/>
      <c r="IT71" s="34"/>
      <c r="IU71" s="37"/>
      <c r="IV71" s="34"/>
    </row>
    <row r="72" spans="1:256" s="35" customFormat="1" ht="30.75" customHeight="1">
      <c r="A72" s="22"/>
      <c r="B72" s="23" t="s">
        <v>233</v>
      </c>
      <c r="C72" s="26" t="s">
        <v>53</v>
      </c>
      <c r="D72" s="26">
        <v>1.27</v>
      </c>
      <c r="E72" s="25"/>
      <c r="F72" s="25"/>
      <c r="G72" s="110">
        <v>0</v>
      </c>
      <c r="H72" s="53">
        <v>0</v>
      </c>
      <c r="I72" s="153" t="s">
        <v>433</v>
      </c>
      <c r="J72" s="32"/>
      <c r="K72" s="33"/>
      <c r="L72" s="33"/>
      <c r="M72" s="34"/>
      <c r="N72" s="34"/>
      <c r="O72" s="37"/>
      <c r="P72" s="34"/>
      <c r="Q72" s="31"/>
      <c r="R72" s="32"/>
      <c r="S72" s="33"/>
      <c r="T72" s="33"/>
      <c r="U72" s="34"/>
      <c r="V72" s="34"/>
      <c r="W72" s="37"/>
      <c r="X72" s="34"/>
      <c r="Y72" s="31"/>
      <c r="Z72" s="32"/>
      <c r="AA72" s="33"/>
      <c r="AB72" s="33"/>
      <c r="AC72" s="34"/>
      <c r="AD72" s="34"/>
      <c r="AE72" s="37"/>
      <c r="AF72" s="34"/>
      <c r="AG72" s="31"/>
      <c r="AH72" s="32"/>
      <c r="AI72" s="33"/>
      <c r="AJ72" s="33"/>
      <c r="AK72" s="34"/>
      <c r="AL72" s="34"/>
      <c r="AM72" s="37"/>
      <c r="AN72" s="34"/>
      <c r="AO72" s="31"/>
      <c r="AP72" s="32"/>
      <c r="AQ72" s="33"/>
      <c r="AR72" s="33"/>
      <c r="AS72" s="34"/>
      <c r="AT72" s="34"/>
      <c r="AU72" s="37"/>
      <c r="AV72" s="34"/>
      <c r="AW72" s="31"/>
      <c r="AX72" s="32"/>
      <c r="AY72" s="33"/>
      <c r="AZ72" s="33"/>
      <c r="BA72" s="34"/>
      <c r="BB72" s="34"/>
      <c r="BC72" s="37"/>
      <c r="BD72" s="34"/>
      <c r="BE72" s="31"/>
      <c r="BF72" s="32"/>
      <c r="BG72" s="33"/>
      <c r="BH72" s="33"/>
      <c r="BI72" s="34"/>
      <c r="BJ72" s="34"/>
      <c r="BK72" s="37"/>
      <c r="BL72" s="34"/>
      <c r="BM72" s="31"/>
      <c r="BN72" s="32"/>
      <c r="BO72" s="33"/>
      <c r="BP72" s="33"/>
      <c r="BQ72" s="34"/>
      <c r="BR72" s="34"/>
      <c r="BS72" s="37"/>
      <c r="BT72" s="34"/>
      <c r="BU72" s="31"/>
      <c r="BV72" s="32"/>
      <c r="BW72" s="33"/>
      <c r="BX72" s="33"/>
      <c r="BY72" s="34"/>
      <c r="BZ72" s="34"/>
      <c r="CA72" s="37"/>
      <c r="CB72" s="34"/>
      <c r="CC72" s="31"/>
      <c r="CD72" s="32"/>
      <c r="CE72" s="33"/>
      <c r="CF72" s="33"/>
      <c r="CG72" s="34"/>
      <c r="CH72" s="34"/>
      <c r="CI72" s="37"/>
      <c r="CJ72" s="34"/>
      <c r="CK72" s="31"/>
      <c r="CL72" s="32"/>
      <c r="CM72" s="33"/>
      <c r="CN72" s="33"/>
      <c r="CO72" s="34"/>
      <c r="CP72" s="34"/>
      <c r="CQ72" s="37"/>
      <c r="CR72" s="34"/>
      <c r="CS72" s="31"/>
      <c r="CT72" s="32"/>
      <c r="CU72" s="33"/>
      <c r="CV72" s="33"/>
      <c r="CW72" s="34"/>
      <c r="CX72" s="34"/>
      <c r="CY72" s="37"/>
      <c r="CZ72" s="34"/>
      <c r="DA72" s="31"/>
      <c r="DB72" s="32"/>
      <c r="DC72" s="33"/>
      <c r="DD72" s="33"/>
      <c r="DE72" s="34"/>
      <c r="DF72" s="34"/>
      <c r="DG72" s="37"/>
      <c r="DH72" s="34"/>
      <c r="DI72" s="31"/>
      <c r="DJ72" s="32"/>
      <c r="DK72" s="33"/>
      <c r="DL72" s="33"/>
      <c r="DM72" s="34"/>
      <c r="DN72" s="34"/>
      <c r="DO72" s="37"/>
      <c r="DP72" s="34"/>
      <c r="DQ72" s="31"/>
      <c r="DR72" s="32"/>
      <c r="DS72" s="33"/>
      <c r="DT72" s="33"/>
      <c r="DU72" s="34"/>
      <c r="DV72" s="34"/>
      <c r="DW72" s="37"/>
      <c r="DX72" s="34"/>
      <c r="DY72" s="31"/>
      <c r="DZ72" s="32"/>
      <c r="EA72" s="33"/>
      <c r="EB72" s="33"/>
      <c r="EC72" s="34"/>
      <c r="ED72" s="34"/>
      <c r="EE72" s="37"/>
      <c r="EF72" s="34"/>
      <c r="EG72" s="31"/>
      <c r="EH72" s="32"/>
      <c r="EI72" s="33"/>
      <c r="EJ72" s="33"/>
      <c r="EK72" s="34"/>
      <c r="EL72" s="34"/>
      <c r="EM72" s="37"/>
      <c r="EN72" s="34"/>
      <c r="EO72" s="31"/>
      <c r="EP72" s="32"/>
      <c r="EQ72" s="33"/>
      <c r="ER72" s="33"/>
      <c r="ES72" s="34"/>
      <c r="ET72" s="34"/>
      <c r="EU72" s="37"/>
      <c r="EV72" s="34"/>
      <c r="EW72" s="31"/>
      <c r="EX72" s="32"/>
      <c r="EY72" s="33"/>
      <c r="EZ72" s="33"/>
      <c r="FA72" s="34"/>
      <c r="FB72" s="34"/>
      <c r="FC72" s="37"/>
      <c r="FD72" s="34"/>
      <c r="FE72" s="31"/>
      <c r="FF72" s="32"/>
      <c r="FG72" s="33"/>
      <c r="FH72" s="33"/>
      <c r="FI72" s="34"/>
      <c r="FJ72" s="34"/>
      <c r="FK72" s="37"/>
      <c r="FL72" s="34"/>
      <c r="FM72" s="31"/>
      <c r="FN72" s="32"/>
      <c r="FO72" s="33"/>
      <c r="FP72" s="33"/>
      <c r="FQ72" s="34"/>
      <c r="FR72" s="34"/>
      <c r="FS72" s="37"/>
      <c r="FT72" s="34"/>
      <c r="FU72" s="31"/>
      <c r="FV72" s="32"/>
      <c r="FW72" s="33"/>
      <c r="FX72" s="33"/>
      <c r="FY72" s="34"/>
      <c r="FZ72" s="34"/>
      <c r="GA72" s="37"/>
      <c r="GB72" s="34"/>
      <c r="GC72" s="31"/>
      <c r="GD72" s="32"/>
      <c r="GE72" s="33"/>
      <c r="GF72" s="33"/>
      <c r="GG72" s="34"/>
      <c r="GH72" s="34"/>
      <c r="GI72" s="37"/>
      <c r="GJ72" s="34"/>
      <c r="GK72" s="31"/>
      <c r="GL72" s="32"/>
      <c r="GM72" s="33"/>
      <c r="GN72" s="33"/>
      <c r="GO72" s="34"/>
      <c r="GP72" s="34"/>
      <c r="GQ72" s="37"/>
      <c r="GR72" s="34"/>
      <c r="GS72" s="31"/>
      <c r="GT72" s="32"/>
      <c r="GU72" s="33"/>
      <c r="GV72" s="33"/>
      <c r="GW72" s="34"/>
      <c r="GX72" s="34"/>
      <c r="GY72" s="37"/>
      <c r="GZ72" s="34"/>
      <c r="HA72" s="31"/>
      <c r="HB72" s="32"/>
      <c r="HC72" s="33"/>
      <c r="HD72" s="33"/>
      <c r="HE72" s="34"/>
      <c r="HF72" s="34"/>
      <c r="HG72" s="37"/>
      <c r="HH72" s="34"/>
      <c r="HI72" s="31"/>
      <c r="HJ72" s="32"/>
      <c r="HK72" s="33"/>
      <c r="HL72" s="33"/>
      <c r="HM72" s="34"/>
      <c r="HN72" s="34"/>
      <c r="HO72" s="37"/>
      <c r="HP72" s="34"/>
      <c r="HQ72" s="31"/>
      <c r="HR72" s="32"/>
      <c r="HS72" s="33"/>
      <c r="HT72" s="33"/>
      <c r="HU72" s="34"/>
      <c r="HV72" s="34"/>
      <c r="HW72" s="37"/>
      <c r="HX72" s="34"/>
      <c r="HY72" s="31"/>
      <c r="HZ72" s="32"/>
      <c r="IA72" s="33"/>
      <c r="IB72" s="33"/>
      <c r="IC72" s="34"/>
      <c r="ID72" s="34"/>
      <c r="IE72" s="37"/>
      <c r="IF72" s="34"/>
      <c r="IG72" s="31"/>
      <c r="IH72" s="32"/>
      <c r="II72" s="33"/>
      <c r="IJ72" s="33"/>
      <c r="IK72" s="34"/>
      <c r="IL72" s="34"/>
      <c r="IM72" s="37"/>
      <c r="IN72" s="34"/>
      <c r="IO72" s="31"/>
      <c r="IP72" s="32"/>
      <c r="IQ72" s="33"/>
      <c r="IR72" s="33"/>
      <c r="IS72" s="34"/>
      <c r="IT72" s="34"/>
      <c r="IU72" s="37"/>
      <c r="IV72" s="34"/>
    </row>
    <row r="73" spans="1:256" s="35" customFormat="1" ht="28.5" customHeight="1">
      <c r="A73" s="22"/>
      <c r="B73" s="23" t="s">
        <v>234</v>
      </c>
      <c r="C73" s="26" t="s">
        <v>80</v>
      </c>
      <c r="D73" s="26">
        <v>165</v>
      </c>
      <c r="E73" s="25"/>
      <c r="F73" s="25"/>
      <c r="G73" s="110">
        <v>0</v>
      </c>
      <c r="H73" s="53">
        <v>0</v>
      </c>
      <c r="I73" s="153" t="s">
        <v>434</v>
      </c>
      <c r="J73" s="39"/>
      <c r="K73" s="33"/>
      <c r="L73" s="33"/>
      <c r="M73" s="34"/>
      <c r="N73" s="34"/>
      <c r="O73" s="34"/>
      <c r="P73" s="34"/>
      <c r="Q73" s="31"/>
      <c r="R73" s="32"/>
      <c r="S73" s="33"/>
      <c r="T73" s="33"/>
      <c r="U73" s="34"/>
      <c r="V73" s="34"/>
      <c r="W73" s="34"/>
      <c r="X73" s="34"/>
      <c r="Y73" s="31"/>
      <c r="Z73" s="32"/>
      <c r="AA73" s="33"/>
      <c r="AB73" s="33"/>
      <c r="AC73" s="34"/>
      <c r="AD73" s="34"/>
      <c r="AE73" s="34"/>
      <c r="AF73" s="34"/>
      <c r="AG73" s="31"/>
      <c r="AH73" s="32"/>
      <c r="AI73" s="33"/>
      <c r="AJ73" s="33"/>
      <c r="AK73" s="34"/>
      <c r="AL73" s="34"/>
      <c r="AM73" s="34"/>
      <c r="AN73" s="34"/>
      <c r="AO73" s="31"/>
      <c r="AP73" s="32"/>
      <c r="AQ73" s="33"/>
      <c r="AR73" s="33"/>
      <c r="AS73" s="34"/>
      <c r="AT73" s="34"/>
      <c r="AU73" s="34"/>
      <c r="AV73" s="34"/>
      <c r="AW73" s="31"/>
      <c r="AX73" s="32"/>
      <c r="AY73" s="33"/>
      <c r="AZ73" s="33"/>
      <c r="BA73" s="34"/>
      <c r="BB73" s="34"/>
      <c r="BC73" s="34"/>
      <c r="BD73" s="34"/>
      <c r="BE73" s="31"/>
      <c r="BF73" s="32"/>
      <c r="BG73" s="33"/>
      <c r="BH73" s="33"/>
      <c r="BI73" s="34"/>
      <c r="BJ73" s="34"/>
      <c r="BK73" s="34"/>
      <c r="BL73" s="34"/>
      <c r="BM73" s="31"/>
      <c r="BN73" s="32"/>
      <c r="BO73" s="33"/>
      <c r="BP73" s="33"/>
      <c r="BQ73" s="34"/>
      <c r="BR73" s="34"/>
      <c r="BS73" s="34"/>
      <c r="BT73" s="34"/>
      <c r="BU73" s="31"/>
      <c r="BV73" s="32"/>
      <c r="BW73" s="33"/>
      <c r="BX73" s="33"/>
      <c r="BY73" s="34"/>
      <c r="BZ73" s="34"/>
      <c r="CA73" s="34"/>
      <c r="CB73" s="34"/>
      <c r="CC73" s="31"/>
      <c r="CD73" s="32"/>
      <c r="CE73" s="33"/>
      <c r="CF73" s="33"/>
      <c r="CG73" s="34"/>
      <c r="CH73" s="34"/>
      <c r="CI73" s="34"/>
      <c r="CJ73" s="34"/>
      <c r="CK73" s="31"/>
      <c r="CL73" s="32"/>
      <c r="CM73" s="33"/>
      <c r="CN73" s="33"/>
      <c r="CO73" s="34"/>
      <c r="CP73" s="34"/>
      <c r="CQ73" s="34"/>
      <c r="CR73" s="34"/>
      <c r="CS73" s="31"/>
      <c r="CT73" s="32"/>
      <c r="CU73" s="33"/>
      <c r="CV73" s="33"/>
      <c r="CW73" s="34"/>
      <c r="CX73" s="34"/>
      <c r="CY73" s="34"/>
      <c r="CZ73" s="34"/>
      <c r="DA73" s="31"/>
      <c r="DB73" s="32"/>
      <c r="DC73" s="33"/>
      <c r="DD73" s="33"/>
      <c r="DE73" s="34"/>
      <c r="DF73" s="34"/>
      <c r="DG73" s="34"/>
      <c r="DH73" s="34"/>
      <c r="DI73" s="31"/>
      <c r="DJ73" s="32"/>
      <c r="DK73" s="33"/>
      <c r="DL73" s="33"/>
      <c r="DM73" s="34"/>
      <c r="DN73" s="34"/>
      <c r="DO73" s="34"/>
      <c r="DP73" s="34"/>
      <c r="DQ73" s="31"/>
      <c r="DR73" s="32"/>
      <c r="DS73" s="33"/>
      <c r="DT73" s="33"/>
      <c r="DU73" s="34"/>
      <c r="DV73" s="34"/>
      <c r="DW73" s="34"/>
      <c r="DX73" s="34"/>
      <c r="DY73" s="31"/>
      <c r="DZ73" s="32"/>
      <c r="EA73" s="33"/>
      <c r="EB73" s="33"/>
      <c r="EC73" s="34"/>
      <c r="ED73" s="34"/>
      <c r="EE73" s="34"/>
      <c r="EF73" s="34"/>
      <c r="EG73" s="31"/>
      <c r="EH73" s="32"/>
      <c r="EI73" s="33"/>
      <c r="EJ73" s="33"/>
      <c r="EK73" s="34"/>
      <c r="EL73" s="34"/>
      <c r="EM73" s="34"/>
      <c r="EN73" s="34"/>
      <c r="EO73" s="31"/>
      <c r="EP73" s="32"/>
      <c r="EQ73" s="33"/>
      <c r="ER73" s="33"/>
      <c r="ES73" s="34"/>
      <c r="ET73" s="34"/>
      <c r="EU73" s="34"/>
      <c r="EV73" s="34"/>
      <c r="EW73" s="31"/>
      <c r="EX73" s="32"/>
      <c r="EY73" s="33"/>
      <c r="EZ73" s="33"/>
      <c r="FA73" s="34"/>
      <c r="FB73" s="34"/>
      <c r="FC73" s="34"/>
      <c r="FD73" s="34"/>
      <c r="FE73" s="31"/>
      <c r="FF73" s="32"/>
      <c r="FG73" s="33"/>
      <c r="FH73" s="33"/>
      <c r="FI73" s="34"/>
      <c r="FJ73" s="34"/>
      <c r="FK73" s="34"/>
      <c r="FL73" s="34"/>
      <c r="FM73" s="31"/>
      <c r="FN73" s="32"/>
      <c r="FO73" s="33"/>
      <c r="FP73" s="33"/>
      <c r="FQ73" s="34"/>
      <c r="FR73" s="34"/>
      <c r="FS73" s="34"/>
      <c r="FT73" s="34"/>
      <c r="FU73" s="31"/>
      <c r="FV73" s="32"/>
      <c r="FW73" s="33"/>
      <c r="FX73" s="33"/>
      <c r="FY73" s="34"/>
      <c r="FZ73" s="34"/>
      <c r="GA73" s="34"/>
      <c r="GB73" s="34"/>
      <c r="GC73" s="31"/>
      <c r="GD73" s="32"/>
      <c r="GE73" s="33"/>
      <c r="GF73" s="33"/>
      <c r="GG73" s="34"/>
      <c r="GH73" s="34"/>
      <c r="GI73" s="34"/>
      <c r="GJ73" s="34"/>
      <c r="GK73" s="31"/>
      <c r="GL73" s="32"/>
      <c r="GM73" s="33"/>
      <c r="GN73" s="33"/>
      <c r="GO73" s="34"/>
      <c r="GP73" s="34"/>
      <c r="GQ73" s="34"/>
      <c r="GR73" s="34"/>
      <c r="GS73" s="31"/>
      <c r="GT73" s="32"/>
      <c r="GU73" s="33"/>
      <c r="GV73" s="33"/>
      <c r="GW73" s="34"/>
      <c r="GX73" s="34"/>
      <c r="GY73" s="34"/>
      <c r="GZ73" s="34"/>
      <c r="HA73" s="31"/>
      <c r="HB73" s="32"/>
      <c r="HC73" s="33"/>
      <c r="HD73" s="33"/>
      <c r="HE73" s="34"/>
      <c r="HF73" s="34"/>
      <c r="HG73" s="34"/>
      <c r="HH73" s="34"/>
      <c r="HI73" s="31"/>
      <c r="HJ73" s="32"/>
      <c r="HK73" s="33"/>
      <c r="HL73" s="33"/>
      <c r="HM73" s="34"/>
      <c r="HN73" s="34"/>
      <c r="HO73" s="34"/>
      <c r="HP73" s="34"/>
      <c r="HQ73" s="31"/>
      <c r="HR73" s="32"/>
      <c r="HS73" s="33"/>
      <c r="HT73" s="33"/>
      <c r="HU73" s="34"/>
      <c r="HV73" s="34"/>
      <c r="HW73" s="34"/>
      <c r="HX73" s="34"/>
      <c r="HY73" s="31"/>
      <c r="HZ73" s="32"/>
      <c r="IA73" s="33"/>
      <c r="IB73" s="33"/>
      <c r="IC73" s="34"/>
      <c r="ID73" s="34"/>
      <c r="IE73" s="34"/>
      <c r="IF73" s="34"/>
      <c r="IG73" s="31"/>
      <c r="IH73" s="32"/>
      <c r="II73" s="33"/>
      <c r="IJ73" s="33"/>
      <c r="IK73" s="34"/>
      <c r="IL73" s="34"/>
      <c r="IM73" s="34"/>
      <c r="IN73" s="34"/>
      <c r="IO73" s="31"/>
      <c r="IP73" s="32"/>
      <c r="IQ73" s="33"/>
      <c r="IR73" s="33"/>
      <c r="IS73" s="34"/>
      <c r="IT73" s="34"/>
      <c r="IU73" s="34"/>
      <c r="IV73" s="34"/>
    </row>
    <row r="74" spans="1:256" s="35" customFormat="1" ht="25.5" customHeight="1">
      <c r="A74" s="22"/>
      <c r="B74" s="23" t="s">
        <v>355</v>
      </c>
      <c r="C74" s="26" t="s">
        <v>80</v>
      </c>
      <c r="D74" s="26">
        <f>50+75</f>
        <v>125</v>
      </c>
      <c r="E74" s="25"/>
      <c r="F74" s="25"/>
      <c r="G74" s="110">
        <v>0</v>
      </c>
      <c r="H74" s="53">
        <v>0</v>
      </c>
      <c r="I74" s="153" t="s">
        <v>435</v>
      </c>
      <c r="J74" s="32"/>
      <c r="K74" s="33"/>
      <c r="L74" s="33"/>
      <c r="M74" s="34"/>
      <c r="N74" s="34"/>
      <c r="O74" s="34"/>
      <c r="P74" s="34"/>
      <c r="Q74" s="31"/>
      <c r="R74" s="32"/>
      <c r="S74" s="33"/>
      <c r="T74" s="33"/>
      <c r="U74" s="34"/>
      <c r="V74" s="34"/>
      <c r="W74" s="34"/>
      <c r="X74" s="34"/>
      <c r="Y74" s="31"/>
      <c r="Z74" s="32"/>
      <c r="AA74" s="33"/>
      <c r="AB74" s="33"/>
      <c r="AC74" s="34"/>
      <c r="AD74" s="34"/>
      <c r="AE74" s="34"/>
      <c r="AF74" s="34"/>
      <c r="AG74" s="31"/>
      <c r="AH74" s="32"/>
      <c r="AI74" s="33"/>
      <c r="AJ74" s="33"/>
      <c r="AK74" s="34"/>
      <c r="AL74" s="34"/>
      <c r="AM74" s="34"/>
      <c r="AN74" s="34"/>
      <c r="AO74" s="31"/>
      <c r="AP74" s="32"/>
      <c r="AQ74" s="33"/>
      <c r="AR74" s="33"/>
      <c r="AS74" s="34"/>
      <c r="AT74" s="34"/>
      <c r="AU74" s="34"/>
      <c r="AV74" s="34"/>
      <c r="AW74" s="31"/>
      <c r="AX74" s="32"/>
      <c r="AY74" s="33"/>
      <c r="AZ74" s="33"/>
      <c r="BA74" s="34"/>
      <c r="BB74" s="34"/>
      <c r="BC74" s="34"/>
      <c r="BD74" s="34"/>
      <c r="BE74" s="31"/>
      <c r="BF74" s="32"/>
      <c r="BG74" s="33"/>
      <c r="BH74" s="33"/>
      <c r="BI74" s="34"/>
      <c r="BJ74" s="34"/>
      <c r="BK74" s="34"/>
      <c r="BL74" s="34"/>
      <c r="BM74" s="31"/>
      <c r="BN74" s="32"/>
      <c r="BO74" s="33"/>
      <c r="BP74" s="33"/>
      <c r="BQ74" s="34"/>
      <c r="BR74" s="34"/>
      <c r="BS74" s="34"/>
      <c r="BT74" s="34"/>
      <c r="BU74" s="31"/>
      <c r="BV74" s="32"/>
      <c r="BW74" s="33"/>
      <c r="BX74" s="33"/>
      <c r="BY74" s="34"/>
      <c r="BZ74" s="34"/>
      <c r="CA74" s="34"/>
      <c r="CB74" s="34"/>
      <c r="CC74" s="31"/>
      <c r="CD74" s="32"/>
      <c r="CE74" s="33"/>
      <c r="CF74" s="33"/>
      <c r="CG74" s="34"/>
      <c r="CH74" s="34"/>
      <c r="CI74" s="34"/>
      <c r="CJ74" s="34"/>
      <c r="CK74" s="31"/>
      <c r="CL74" s="32"/>
      <c r="CM74" s="33"/>
      <c r="CN74" s="33"/>
      <c r="CO74" s="34"/>
      <c r="CP74" s="34"/>
      <c r="CQ74" s="34"/>
      <c r="CR74" s="34"/>
      <c r="CS74" s="31"/>
      <c r="CT74" s="32"/>
      <c r="CU74" s="33"/>
      <c r="CV74" s="33"/>
      <c r="CW74" s="34"/>
      <c r="CX74" s="34"/>
      <c r="CY74" s="34"/>
      <c r="CZ74" s="34"/>
      <c r="DA74" s="31"/>
      <c r="DB74" s="32"/>
      <c r="DC74" s="33"/>
      <c r="DD74" s="33"/>
      <c r="DE74" s="34"/>
      <c r="DF74" s="34"/>
      <c r="DG74" s="34"/>
      <c r="DH74" s="34"/>
      <c r="DI74" s="31"/>
      <c r="DJ74" s="32"/>
      <c r="DK74" s="33"/>
      <c r="DL74" s="33"/>
      <c r="DM74" s="34"/>
      <c r="DN74" s="34"/>
      <c r="DO74" s="34"/>
      <c r="DP74" s="34"/>
      <c r="DQ74" s="31"/>
      <c r="DR74" s="32"/>
      <c r="DS74" s="33"/>
      <c r="DT74" s="33"/>
      <c r="DU74" s="34"/>
      <c r="DV74" s="34"/>
      <c r="DW74" s="34"/>
      <c r="DX74" s="34"/>
      <c r="DY74" s="31"/>
      <c r="DZ74" s="32"/>
      <c r="EA74" s="33"/>
      <c r="EB74" s="33"/>
      <c r="EC74" s="34"/>
      <c r="ED74" s="34"/>
      <c r="EE74" s="34"/>
      <c r="EF74" s="34"/>
      <c r="EG74" s="31"/>
      <c r="EH74" s="32"/>
      <c r="EI74" s="33"/>
      <c r="EJ74" s="33"/>
      <c r="EK74" s="34"/>
      <c r="EL74" s="34"/>
      <c r="EM74" s="34"/>
      <c r="EN74" s="34"/>
      <c r="EO74" s="31"/>
      <c r="EP74" s="32"/>
      <c r="EQ74" s="33"/>
      <c r="ER74" s="33"/>
      <c r="ES74" s="34"/>
      <c r="ET74" s="34"/>
      <c r="EU74" s="34"/>
      <c r="EV74" s="34"/>
      <c r="EW74" s="31"/>
      <c r="EX74" s="32"/>
      <c r="EY74" s="33"/>
      <c r="EZ74" s="33"/>
      <c r="FA74" s="34"/>
      <c r="FB74" s="34"/>
      <c r="FC74" s="34"/>
      <c r="FD74" s="34"/>
      <c r="FE74" s="31"/>
      <c r="FF74" s="32"/>
      <c r="FG74" s="33"/>
      <c r="FH74" s="33"/>
      <c r="FI74" s="34"/>
      <c r="FJ74" s="34"/>
      <c r="FK74" s="34"/>
      <c r="FL74" s="34"/>
      <c r="FM74" s="31"/>
      <c r="FN74" s="32"/>
      <c r="FO74" s="33"/>
      <c r="FP74" s="33"/>
      <c r="FQ74" s="34"/>
      <c r="FR74" s="34"/>
      <c r="FS74" s="34"/>
      <c r="FT74" s="34"/>
      <c r="FU74" s="31"/>
      <c r="FV74" s="32"/>
      <c r="FW74" s="33"/>
      <c r="FX74" s="33"/>
      <c r="FY74" s="34"/>
      <c r="FZ74" s="34"/>
      <c r="GA74" s="34"/>
      <c r="GB74" s="34"/>
      <c r="GC74" s="31"/>
      <c r="GD74" s="32"/>
      <c r="GE74" s="33"/>
      <c r="GF74" s="33"/>
      <c r="GG74" s="34"/>
      <c r="GH74" s="34"/>
      <c r="GI74" s="34"/>
      <c r="GJ74" s="34"/>
      <c r="GK74" s="31"/>
      <c r="GL74" s="32"/>
      <c r="GM74" s="33"/>
      <c r="GN74" s="33"/>
      <c r="GO74" s="34"/>
      <c r="GP74" s="34"/>
      <c r="GQ74" s="34"/>
      <c r="GR74" s="34"/>
      <c r="GS74" s="31"/>
      <c r="GT74" s="32"/>
      <c r="GU74" s="33"/>
      <c r="GV74" s="33"/>
      <c r="GW74" s="34"/>
      <c r="GX74" s="34"/>
      <c r="GY74" s="34"/>
      <c r="GZ74" s="34"/>
      <c r="HA74" s="31"/>
      <c r="HB74" s="32"/>
      <c r="HC74" s="33"/>
      <c r="HD74" s="33"/>
      <c r="HE74" s="34"/>
      <c r="HF74" s="34"/>
      <c r="HG74" s="34"/>
      <c r="HH74" s="34"/>
      <c r="HI74" s="31"/>
      <c r="HJ74" s="32"/>
      <c r="HK74" s="33"/>
      <c r="HL74" s="33"/>
      <c r="HM74" s="34"/>
      <c r="HN74" s="34"/>
      <c r="HO74" s="34"/>
      <c r="HP74" s="34"/>
      <c r="HQ74" s="31"/>
      <c r="HR74" s="32"/>
      <c r="HS74" s="33"/>
      <c r="HT74" s="33"/>
      <c r="HU74" s="34"/>
      <c r="HV74" s="34"/>
      <c r="HW74" s="34"/>
      <c r="HX74" s="34"/>
      <c r="HY74" s="31"/>
      <c r="HZ74" s="32"/>
      <c r="IA74" s="33"/>
      <c r="IB74" s="33"/>
      <c r="IC74" s="34"/>
      <c r="ID74" s="34"/>
      <c r="IE74" s="34"/>
      <c r="IF74" s="34"/>
      <c r="IG74" s="31"/>
      <c r="IH74" s="32"/>
      <c r="II74" s="33"/>
      <c r="IJ74" s="33"/>
      <c r="IK74" s="34"/>
      <c r="IL74" s="34"/>
      <c r="IM74" s="34"/>
      <c r="IN74" s="34"/>
      <c r="IO74" s="31"/>
      <c r="IP74" s="32"/>
      <c r="IQ74" s="33"/>
      <c r="IR74" s="33"/>
      <c r="IS74" s="34"/>
      <c r="IT74" s="34"/>
      <c r="IU74" s="34"/>
      <c r="IV74" s="34"/>
    </row>
    <row r="75" spans="1:256" s="35" customFormat="1" ht="25.5" customHeight="1">
      <c r="A75" s="22"/>
      <c r="B75" s="23" t="s">
        <v>237</v>
      </c>
      <c r="C75" s="26" t="s">
        <v>53</v>
      </c>
      <c r="D75" s="26">
        <f>2.8+3.7</f>
        <v>6.5</v>
      </c>
      <c r="E75" s="25"/>
      <c r="F75" s="25"/>
      <c r="G75" s="110">
        <v>0</v>
      </c>
      <c r="H75" s="53">
        <v>0</v>
      </c>
      <c r="I75" s="153" t="s">
        <v>436</v>
      </c>
      <c r="J75" s="32"/>
      <c r="K75" s="33"/>
      <c r="L75" s="33"/>
      <c r="M75" s="34"/>
      <c r="N75" s="34"/>
      <c r="O75" s="34"/>
      <c r="P75" s="34"/>
      <c r="Q75" s="31"/>
      <c r="R75" s="32"/>
      <c r="S75" s="33"/>
      <c r="T75" s="33"/>
      <c r="U75" s="34"/>
      <c r="V75" s="34"/>
      <c r="W75" s="34"/>
      <c r="X75" s="34"/>
      <c r="Y75" s="31"/>
      <c r="Z75" s="32"/>
      <c r="AA75" s="33"/>
      <c r="AB75" s="33"/>
      <c r="AC75" s="34"/>
      <c r="AD75" s="34"/>
      <c r="AE75" s="34"/>
      <c r="AF75" s="34"/>
      <c r="AG75" s="31"/>
      <c r="AH75" s="32"/>
      <c r="AI75" s="33"/>
      <c r="AJ75" s="33"/>
      <c r="AK75" s="34"/>
      <c r="AL75" s="34"/>
      <c r="AM75" s="34"/>
      <c r="AN75" s="34"/>
      <c r="AO75" s="31"/>
      <c r="AP75" s="32"/>
      <c r="AQ75" s="33"/>
      <c r="AR75" s="33"/>
      <c r="AS75" s="34"/>
      <c r="AT75" s="34"/>
      <c r="AU75" s="34"/>
      <c r="AV75" s="34"/>
      <c r="AW75" s="31"/>
      <c r="AX75" s="32"/>
      <c r="AY75" s="33"/>
      <c r="AZ75" s="33"/>
      <c r="BA75" s="34"/>
      <c r="BB75" s="34"/>
      <c r="BC75" s="34"/>
      <c r="BD75" s="34"/>
      <c r="BE75" s="31"/>
      <c r="BF75" s="32"/>
      <c r="BG75" s="33"/>
      <c r="BH75" s="33"/>
      <c r="BI75" s="34"/>
      <c r="BJ75" s="34"/>
      <c r="BK75" s="34"/>
      <c r="BL75" s="34"/>
      <c r="BM75" s="31"/>
      <c r="BN75" s="32"/>
      <c r="BO75" s="33"/>
      <c r="BP75" s="33"/>
      <c r="BQ75" s="34"/>
      <c r="BR75" s="34"/>
      <c r="BS75" s="34"/>
      <c r="BT75" s="34"/>
      <c r="BU75" s="31"/>
      <c r="BV75" s="32"/>
      <c r="BW75" s="33"/>
      <c r="BX75" s="33"/>
      <c r="BY75" s="34"/>
      <c r="BZ75" s="34"/>
      <c r="CA75" s="34"/>
      <c r="CB75" s="34"/>
      <c r="CC75" s="31"/>
      <c r="CD75" s="32"/>
      <c r="CE75" s="33"/>
      <c r="CF75" s="33"/>
      <c r="CG75" s="34"/>
      <c r="CH75" s="34"/>
      <c r="CI75" s="34"/>
      <c r="CJ75" s="34"/>
      <c r="CK75" s="31"/>
      <c r="CL75" s="32"/>
      <c r="CM75" s="33"/>
      <c r="CN75" s="33"/>
      <c r="CO75" s="34"/>
      <c r="CP75" s="34"/>
      <c r="CQ75" s="34"/>
      <c r="CR75" s="34"/>
      <c r="CS75" s="31"/>
      <c r="CT75" s="32"/>
      <c r="CU75" s="33"/>
      <c r="CV75" s="33"/>
      <c r="CW75" s="34"/>
      <c r="CX75" s="34"/>
      <c r="CY75" s="34"/>
      <c r="CZ75" s="34"/>
      <c r="DA75" s="31"/>
      <c r="DB75" s="32"/>
      <c r="DC75" s="33"/>
      <c r="DD75" s="33"/>
      <c r="DE75" s="34"/>
      <c r="DF75" s="34"/>
      <c r="DG75" s="34"/>
      <c r="DH75" s="34"/>
      <c r="DI75" s="31"/>
      <c r="DJ75" s="32"/>
      <c r="DK75" s="33"/>
      <c r="DL75" s="33"/>
      <c r="DM75" s="34"/>
      <c r="DN75" s="34"/>
      <c r="DO75" s="34"/>
      <c r="DP75" s="34"/>
      <c r="DQ75" s="31"/>
      <c r="DR75" s="32"/>
      <c r="DS75" s="33"/>
      <c r="DT75" s="33"/>
      <c r="DU75" s="34"/>
      <c r="DV75" s="34"/>
      <c r="DW75" s="34"/>
      <c r="DX75" s="34"/>
      <c r="DY75" s="31"/>
      <c r="DZ75" s="32"/>
      <c r="EA75" s="33"/>
      <c r="EB75" s="33"/>
      <c r="EC75" s="34"/>
      <c r="ED75" s="34"/>
      <c r="EE75" s="34"/>
      <c r="EF75" s="34"/>
      <c r="EG75" s="31"/>
      <c r="EH75" s="32"/>
      <c r="EI75" s="33"/>
      <c r="EJ75" s="33"/>
      <c r="EK75" s="34"/>
      <c r="EL75" s="34"/>
      <c r="EM75" s="34"/>
      <c r="EN75" s="34"/>
      <c r="EO75" s="31"/>
      <c r="EP75" s="32"/>
      <c r="EQ75" s="33"/>
      <c r="ER75" s="33"/>
      <c r="ES75" s="34"/>
      <c r="ET75" s="34"/>
      <c r="EU75" s="34"/>
      <c r="EV75" s="34"/>
      <c r="EW75" s="31"/>
      <c r="EX75" s="32"/>
      <c r="EY75" s="33"/>
      <c r="EZ75" s="33"/>
      <c r="FA75" s="34"/>
      <c r="FB75" s="34"/>
      <c r="FC75" s="34"/>
      <c r="FD75" s="34"/>
      <c r="FE75" s="31"/>
      <c r="FF75" s="32"/>
      <c r="FG75" s="33"/>
      <c r="FH75" s="33"/>
      <c r="FI75" s="34"/>
      <c r="FJ75" s="34"/>
      <c r="FK75" s="34"/>
      <c r="FL75" s="34"/>
      <c r="FM75" s="31"/>
      <c r="FN75" s="32"/>
      <c r="FO75" s="33"/>
      <c r="FP75" s="33"/>
      <c r="FQ75" s="34"/>
      <c r="FR75" s="34"/>
      <c r="FS75" s="34"/>
      <c r="FT75" s="34"/>
      <c r="FU75" s="31"/>
      <c r="FV75" s="32"/>
      <c r="FW75" s="33"/>
      <c r="FX75" s="33"/>
      <c r="FY75" s="34"/>
      <c r="FZ75" s="34"/>
      <c r="GA75" s="34"/>
      <c r="GB75" s="34"/>
      <c r="GC75" s="31"/>
      <c r="GD75" s="32"/>
      <c r="GE75" s="33"/>
      <c r="GF75" s="33"/>
      <c r="GG75" s="34"/>
      <c r="GH75" s="34"/>
      <c r="GI75" s="34"/>
      <c r="GJ75" s="34"/>
      <c r="GK75" s="31"/>
      <c r="GL75" s="32"/>
      <c r="GM75" s="33"/>
      <c r="GN75" s="33"/>
      <c r="GO75" s="34"/>
      <c r="GP75" s="34"/>
      <c r="GQ75" s="34"/>
      <c r="GR75" s="34"/>
      <c r="GS75" s="31"/>
      <c r="GT75" s="32"/>
      <c r="GU75" s="33"/>
      <c r="GV75" s="33"/>
      <c r="GW75" s="34"/>
      <c r="GX75" s="34"/>
      <c r="GY75" s="34"/>
      <c r="GZ75" s="34"/>
      <c r="HA75" s="31"/>
      <c r="HB75" s="32"/>
      <c r="HC75" s="33"/>
      <c r="HD75" s="33"/>
      <c r="HE75" s="34"/>
      <c r="HF75" s="34"/>
      <c r="HG75" s="34"/>
      <c r="HH75" s="34"/>
      <c r="HI75" s="31"/>
      <c r="HJ75" s="32"/>
      <c r="HK75" s="33"/>
      <c r="HL75" s="33"/>
      <c r="HM75" s="34"/>
      <c r="HN75" s="34"/>
      <c r="HO75" s="34"/>
      <c r="HP75" s="34"/>
      <c r="HQ75" s="31"/>
      <c r="HR75" s="32"/>
      <c r="HS75" s="33"/>
      <c r="HT75" s="33"/>
      <c r="HU75" s="34"/>
      <c r="HV75" s="34"/>
      <c r="HW75" s="34"/>
      <c r="HX75" s="34"/>
      <c r="HY75" s="31"/>
      <c r="HZ75" s="32"/>
      <c r="IA75" s="33"/>
      <c r="IB75" s="33"/>
      <c r="IC75" s="34"/>
      <c r="ID75" s="34"/>
      <c r="IE75" s="34"/>
      <c r="IF75" s="34"/>
      <c r="IG75" s="31"/>
      <c r="IH75" s="32"/>
      <c r="II75" s="33"/>
      <c r="IJ75" s="33"/>
      <c r="IK75" s="34"/>
      <c r="IL75" s="34"/>
      <c r="IM75" s="34"/>
      <c r="IN75" s="34"/>
      <c r="IO75" s="31"/>
      <c r="IP75" s="32"/>
      <c r="IQ75" s="33"/>
      <c r="IR75" s="33"/>
      <c r="IS75" s="34"/>
      <c r="IT75" s="34"/>
      <c r="IU75" s="34"/>
      <c r="IV75" s="34"/>
    </row>
    <row r="76" spans="1:256" s="35" customFormat="1" ht="24">
      <c r="A76" s="22"/>
      <c r="B76" s="23" t="s">
        <v>240</v>
      </c>
      <c r="C76" s="25" t="s">
        <v>80</v>
      </c>
      <c r="D76" s="25">
        <v>2</v>
      </c>
      <c r="E76" s="25"/>
      <c r="F76" s="25"/>
      <c r="G76" s="110">
        <v>0</v>
      </c>
      <c r="H76" s="53">
        <v>0</v>
      </c>
      <c r="I76" s="153" t="s">
        <v>352</v>
      </c>
      <c r="J76" s="32"/>
      <c r="K76" s="33"/>
      <c r="L76" s="33"/>
      <c r="M76" s="34"/>
      <c r="N76" s="34"/>
      <c r="O76" s="34"/>
      <c r="P76" s="34"/>
      <c r="Q76" s="31"/>
      <c r="R76" s="32"/>
      <c r="S76" s="33"/>
      <c r="T76" s="33"/>
      <c r="U76" s="34"/>
      <c r="V76" s="34"/>
      <c r="W76" s="34"/>
      <c r="X76" s="34"/>
      <c r="Y76" s="31"/>
      <c r="Z76" s="32"/>
      <c r="AA76" s="33"/>
      <c r="AB76" s="33"/>
      <c r="AC76" s="34"/>
      <c r="AD76" s="34"/>
      <c r="AE76" s="34"/>
      <c r="AF76" s="34"/>
      <c r="AG76" s="31"/>
      <c r="AH76" s="32"/>
      <c r="AI76" s="33"/>
      <c r="AJ76" s="33"/>
      <c r="AK76" s="34"/>
      <c r="AL76" s="34"/>
      <c r="AM76" s="34"/>
      <c r="AN76" s="34"/>
      <c r="AO76" s="31"/>
      <c r="AP76" s="32"/>
      <c r="AQ76" s="33"/>
      <c r="AR76" s="33"/>
      <c r="AS76" s="34"/>
      <c r="AT76" s="34"/>
      <c r="AU76" s="34"/>
      <c r="AV76" s="34"/>
      <c r="AW76" s="31"/>
      <c r="AX76" s="32"/>
      <c r="AY76" s="33"/>
      <c r="AZ76" s="33"/>
      <c r="BA76" s="34"/>
      <c r="BB76" s="34"/>
      <c r="BC76" s="34"/>
      <c r="BD76" s="34"/>
      <c r="BE76" s="31"/>
      <c r="BF76" s="32"/>
      <c r="BG76" s="33"/>
      <c r="BH76" s="33"/>
      <c r="BI76" s="34"/>
      <c r="BJ76" s="34"/>
      <c r="BK76" s="34"/>
      <c r="BL76" s="34"/>
      <c r="BM76" s="31"/>
      <c r="BN76" s="32"/>
      <c r="BO76" s="33"/>
      <c r="BP76" s="33"/>
      <c r="BQ76" s="34"/>
      <c r="BR76" s="34"/>
      <c r="BS76" s="34"/>
      <c r="BT76" s="34"/>
      <c r="BU76" s="31"/>
      <c r="BV76" s="32"/>
      <c r="BW76" s="33"/>
      <c r="BX76" s="33"/>
      <c r="BY76" s="34"/>
      <c r="BZ76" s="34"/>
      <c r="CA76" s="34"/>
      <c r="CB76" s="34"/>
      <c r="CC76" s="31"/>
      <c r="CD76" s="32"/>
      <c r="CE76" s="33"/>
      <c r="CF76" s="33"/>
      <c r="CG76" s="34"/>
      <c r="CH76" s="34"/>
      <c r="CI76" s="34"/>
      <c r="CJ76" s="34"/>
      <c r="CK76" s="31"/>
      <c r="CL76" s="32"/>
      <c r="CM76" s="33"/>
      <c r="CN76" s="33"/>
      <c r="CO76" s="34"/>
      <c r="CP76" s="34"/>
      <c r="CQ76" s="34"/>
      <c r="CR76" s="34"/>
      <c r="CS76" s="31"/>
      <c r="CT76" s="32"/>
      <c r="CU76" s="33"/>
      <c r="CV76" s="33"/>
      <c r="CW76" s="34"/>
      <c r="CX76" s="34"/>
      <c r="CY76" s="34"/>
      <c r="CZ76" s="34"/>
      <c r="DA76" s="31"/>
      <c r="DB76" s="32"/>
      <c r="DC76" s="33"/>
      <c r="DD76" s="33"/>
      <c r="DE76" s="34"/>
      <c r="DF76" s="34"/>
      <c r="DG76" s="34"/>
      <c r="DH76" s="34"/>
      <c r="DI76" s="31"/>
      <c r="DJ76" s="32"/>
      <c r="DK76" s="33"/>
      <c r="DL76" s="33"/>
      <c r="DM76" s="34"/>
      <c r="DN76" s="34"/>
      <c r="DO76" s="34"/>
      <c r="DP76" s="34"/>
      <c r="DQ76" s="31"/>
      <c r="DR76" s="32"/>
      <c r="DS76" s="33"/>
      <c r="DT76" s="33"/>
      <c r="DU76" s="34"/>
      <c r="DV76" s="34"/>
      <c r="DW76" s="34"/>
      <c r="DX76" s="34"/>
      <c r="DY76" s="31"/>
      <c r="DZ76" s="32"/>
      <c r="EA76" s="33"/>
      <c r="EB76" s="33"/>
      <c r="EC76" s="34"/>
      <c r="ED76" s="34"/>
      <c r="EE76" s="34"/>
      <c r="EF76" s="34"/>
      <c r="EG76" s="31"/>
      <c r="EH76" s="32"/>
      <c r="EI76" s="33"/>
      <c r="EJ76" s="33"/>
      <c r="EK76" s="34"/>
      <c r="EL76" s="34"/>
      <c r="EM76" s="34"/>
      <c r="EN76" s="34"/>
      <c r="EO76" s="31"/>
      <c r="EP76" s="32"/>
      <c r="EQ76" s="33"/>
      <c r="ER76" s="33"/>
      <c r="ES76" s="34"/>
      <c r="ET76" s="34"/>
      <c r="EU76" s="34"/>
      <c r="EV76" s="34"/>
      <c r="EW76" s="31"/>
      <c r="EX76" s="32"/>
      <c r="EY76" s="33"/>
      <c r="EZ76" s="33"/>
      <c r="FA76" s="34"/>
      <c r="FB76" s="34"/>
      <c r="FC76" s="34"/>
      <c r="FD76" s="34"/>
      <c r="FE76" s="31"/>
      <c r="FF76" s="32"/>
      <c r="FG76" s="33"/>
      <c r="FH76" s="33"/>
      <c r="FI76" s="34"/>
      <c r="FJ76" s="34"/>
      <c r="FK76" s="34"/>
      <c r="FL76" s="34"/>
      <c r="FM76" s="31"/>
      <c r="FN76" s="32"/>
      <c r="FO76" s="33"/>
      <c r="FP76" s="33"/>
      <c r="FQ76" s="34"/>
      <c r="FR76" s="34"/>
      <c r="FS76" s="34"/>
      <c r="FT76" s="34"/>
      <c r="FU76" s="31"/>
      <c r="FV76" s="32"/>
      <c r="FW76" s="33"/>
      <c r="FX76" s="33"/>
      <c r="FY76" s="34"/>
      <c r="FZ76" s="34"/>
      <c r="GA76" s="34"/>
      <c r="GB76" s="34"/>
      <c r="GC76" s="31"/>
      <c r="GD76" s="32"/>
      <c r="GE76" s="33"/>
      <c r="GF76" s="33"/>
      <c r="GG76" s="34"/>
      <c r="GH76" s="34"/>
      <c r="GI76" s="34"/>
      <c r="GJ76" s="34"/>
      <c r="GK76" s="31"/>
      <c r="GL76" s="32"/>
      <c r="GM76" s="33"/>
      <c r="GN76" s="33"/>
      <c r="GO76" s="34"/>
      <c r="GP76" s="34"/>
      <c r="GQ76" s="34"/>
      <c r="GR76" s="34"/>
      <c r="GS76" s="31"/>
      <c r="GT76" s="32"/>
      <c r="GU76" s="33"/>
      <c r="GV76" s="33"/>
      <c r="GW76" s="34"/>
      <c r="GX76" s="34"/>
      <c r="GY76" s="34"/>
      <c r="GZ76" s="34"/>
      <c r="HA76" s="31"/>
      <c r="HB76" s="32"/>
      <c r="HC76" s="33"/>
      <c r="HD76" s="33"/>
      <c r="HE76" s="34"/>
      <c r="HF76" s="34"/>
      <c r="HG76" s="34"/>
      <c r="HH76" s="34"/>
      <c r="HI76" s="31"/>
      <c r="HJ76" s="32"/>
      <c r="HK76" s="33"/>
      <c r="HL76" s="33"/>
      <c r="HM76" s="34"/>
      <c r="HN76" s="34"/>
      <c r="HO76" s="34"/>
      <c r="HP76" s="34"/>
      <c r="HQ76" s="31"/>
      <c r="HR76" s="32"/>
      <c r="HS76" s="33"/>
      <c r="HT76" s="33"/>
      <c r="HU76" s="34"/>
      <c r="HV76" s="34"/>
      <c r="HW76" s="34"/>
      <c r="HX76" s="34"/>
      <c r="HY76" s="31"/>
      <c r="HZ76" s="32"/>
      <c r="IA76" s="33"/>
      <c r="IB76" s="33"/>
      <c r="IC76" s="34"/>
      <c r="ID76" s="34"/>
      <c r="IE76" s="34"/>
      <c r="IF76" s="34"/>
      <c r="IG76" s="31"/>
      <c r="IH76" s="32"/>
      <c r="II76" s="33"/>
      <c r="IJ76" s="33"/>
      <c r="IK76" s="34"/>
      <c r="IL76" s="34"/>
      <c r="IM76" s="34"/>
      <c r="IN76" s="34"/>
      <c r="IO76" s="31"/>
      <c r="IP76" s="32"/>
      <c r="IQ76" s="33"/>
      <c r="IR76" s="33"/>
      <c r="IS76" s="34"/>
      <c r="IT76" s="34"/>
      <c r="IU76" s="34"/>
      <c r="IV76" s="34"/>
    </row>
    <row r="77" spans="1:256" s="35" customFormat="1" ht="15.75" customHeight="1">
      <c r="A77" s="22"/>
      <c r="B77" s="23" t="s">
        <v>353</v>
      </c>
      <c r="C77" s="26" t="s">
        <v>53</v>
      </c>
      <c r="D77" s="26">
        <v>17.76</v>
      </c>
      <c r="E77" s="25"/>
      <c r="F77" s="25"/>
      <c r="G77" s="110">
        <v>0</v>
      </c>
      <c r="H77" s="53">
        <v>0</v>
      </c>
      <c r="I77" s="155" t="s">
        <v>437</v>
      </c>
      <c r="J77" s="32"/>
      <c r="K77" s="33"/>
      <c r="L77" s="33"/>
      <c r="M77" s="34"/>
      <c r="N77" s="34"/>
      <c r="O77" s="34"/>
      <c r="P77" s="34"/>
      <c r="Q77" s="31"/>
      <c r="R77" s="32"/>
      <c r="S77" s="33"/>
      <c r="T77" s="33"/>
      <c r="U77" s="34"/>
      <c r="V77" s="34"/>
      <c r="W77" s="34"/>
      <c r="X77" s="34"/>
      <c r="Y77" s="31"/>
      <c r="Z77" s="32"/>
      <c r="AA77" s="33"/>
      <c r="AB77" s="33"/>
      <c r="AC77" s="34"/>
      <c r="AD77" s="34"/>
      <c r="AE77" s="34"/>
      <c r="AF77" s="34"/>
      <c r="AG77" s="31"/>
      <c r="AH77" s="32"/>
      <c r="AI77" s="33"/>
      <c r="AJ77" s="33"/>
      <c r="AK77" s="34"/>
      <c r="AL77" s="34"/>
      <c r="AM77" s="34"/>
      <c r="AN77" s="34"/>
      <c r="AO77" s="31"/>
      <c r="AP77" s="32"/>
      <c r="AQ77" s="33"/>
      <c r="AR77" s="33"/>
      <c r="AS77" s="34"/>
      <c r="AT77" s="34"/>
      <c r="AU77" s="34"/>
      <c r="AV77" s="34"/>
      <c r="AW77" s="31"/>
      <c r="AX77" s="32"/>
      <c r="AY77" s="33"/>
      <c r="AZ77" s="33"/>
      <c r="BA77" s="34"/>
      <c r="BB77" s="34"/>
      <c r="BC77" s="34"/>
      <c r="BD77" s="34"/>
      <c r="BE77" s="31"/>
      <c r="BF77" s="32"/>
      <c r="BG77" s="33"/>
      <c r="BH77" s="33"/>
      <c r="BI77" s="34"/>
      <c r="BJ77" s="34"/>
      <c r="BK77" s="34"/>
      <c r="BL77" s="34"/>
      <c r="BM77" s="31"/>
      <c r="BN77" s="32"/>
      <c r="BO77" s="33"/>
      <c r="BP77" s="33"/>
      <c r="BQ77" s="34"/>
      <c r="BR77" s="34"/>
      <c r="BS77" s="34"/>
      <c r="BT77" s="34"/>
      <c r="BU77" s="31"/>
      <c r="BV77" s="32"/>
      <c r="BW77" s="33"/>
      <c r="BX77" s="33"/>
      <c r="BY77" s="34"/>
      <c r="BZ77" s="34"/>
      <c r="CA77" s="34"/>
      <c r="CB77" s="34"/>
      <c r="CC77" s="31"/>
      <c r="CD77" s="32"/>
      <c r="CE77" s="33"/>
      <c r="CF77" s="33"/>
      <c r="CG77" s="34"/>
      <c r="CH77" s="34"/>
      <c r="CI77" s="34"/>
      <c r="CJ77" s="34"/>
      <c r="CK77" s="31"/>
      <c r="CL77" s="32"/>
      <c r="CM77" s="33"/>
      <c r="CN77" s="33"/>
      <c r="CO77" s="34"/>
      <c r="CP77" s="34"/>
      <c r="CQ77" s="34"/>
      <c r="CR77" s="34"/>
      <c r="CS77" s="31"/>
      <c r="CT77" s="32"/>
      <c r="CU77" s="33"/>
      <c r="CV77" s="33"/>
      <c r="CW77" s="34"/>
      <c r="CX77" s="34"/>
      <c r="CY77" s="34"/>
      <c r="CZ77" s="34"/>
      <c r="DA77" s="31"/>
      <c r="DB77" s="32"/>
      <c r="DC77" s="33"/>
      <c r="DD77" s="33"/>
      <c r="DE77" s="34"/>
      <c r="DF77" s="34"/>
      <c r="DG77" s="34"/>
      <c r="DH77" s="34"/>
      <c r="DI77" s="31"/>
      <c r="DJ77" s="32"/>
      <c r="DK77" s="33"/>
      <c r="DL77" s="33"/>
      <c r="DM77" s="34"/>
      <c r="DN77" s="34"/>
      <c r="DO77" s="34"/>
      <c r="DP77" s="34"/>
      <c r="DQ77" s="31"/>
      <c r="DR77" s="32"/>
      <c r="DS77" s="33"/>
      <c r="DT77" s="33"/>
      <c r="DU77" s="34"/>
      <c r="DV77" s="34"/>
      <c r="DW77" s="34"/>
      <c r="DX77" s="34"/>
      <c r="DY77" s="31"/>
      <c r="DZ77" s="32"/>
      <c r="EA77" s="33"/>
      <c r="EB77" s="33"/>
      <c r="EC77" s="34"/>
      <c r="ED77" s="34"/>
      <c r="EE77" s="34"/>
      <c r="EF77" s="34"/>
      <c r="EG77" s="31"/>
      <c r="EH77" s="32"/>
      <c r="EI77" s="33"/>
      <c r="EJ77" s="33"/>
      <c r="EK77" s="34"/>
      <c r="EL77" s="34"/>
      <c r="EM77" s="34"/>
      <c r="EN77" s="34"/>
      <c r="EO77" s="31"/>
      <c r="EP77" s="32"/>
      <c r="EQ77" s="33"/>
      <c r="ER77" s="33"/>
      <c r="ES77" s="34"/>
      <c r="ET77" s="34"/>
      <c r="EU77" s="34"/>
      <c r="EV77" s="34"/>
      <c r="EW77" s="31"/>
      <c r="EX77" s="32"/>
      <c r="EY77" s="33"/>
      <c r="EZ77" s="33"/>
      <c r="FA77" s="34"/>
      <c r="FB77" s="34"/>
      <c r="FC77" s="34"/>
      <c r="FD77" s="34"/>
      <c r="FE77" s="31"/>
      <c r="FF77" s="32"/>
      <c r="FG77" s="33"/>
      <c r="FH77" s="33"/>
      <c r="FI77" s="34"/>
      <c r="FJ77" s="34"/>
      <c r="FK77" s="34"/>
      <c r="FL77" s="34"/>
      <c r="FM77" s="31"/>
      <c r="FN77" s="32"/>
      <c r="FO77" s="33"/>
      <c r="FP77" s="33"/>
      <c r="FQ77" s="34"/>
      <c r="FR77" s="34"/>
      <c r="FS77" s="34"/>
      <c r="FT77" s="34"/>
      <c r="FU77" s="31"/>
      <c r="FV77" s="32"/>
      <c r="FW77" s="33"/>
      <c r="FX77" s="33"/>
      <c r="FY77" s="34"/>
      <c r="FZ77" s="34"/>
      <c r="GA77" s="34"/>
      <c r="GB77" s="34"/>
      <c r="GC77" s="31"/>
      <c r="GD77" s="32"/>
      <c r="GE77" s="33"/>
      <c r="GF77" s="33"/>
      <c r="GG77" s="34"/>
      <c r="GH77" s="34"/>
      <c r="GI77" s="34"/>
      <c r="GJ77" s="34"/>
      <c r="GK77" s="31"/>
      <c r="GL77" s="32"/>
      <c r="GM77" s="33"/>
      <c r="GN77" s="33"/>
      <c r="GO77" s="34"/>
      <c r="GP77" s="34"/>
      <c r="GQ77" s="34"/>
      <c r="GR77" s="34"/>
      <c r="GS77" s="31"/>
      <c r="GT77" s="32"/>
      <c r="GU77" s="33"/>
      <c r="GV77" s="33"/>
      <c r="GW77" s="34"/>
      <c r="GX77" s="34"/>
      <c r="GY77" s="34"/>
      <c r="GZ77" s="34"/>
      <c r="HA77" s="31"/>
      <c r="HB77" s="32"/>
      <c r="HC77" s="33"/>
      <c r="HD77" s="33"/>
      <c r="HE77" s="34"/>
      <c r="HF77" s="34"/>
      <c r="HG77" s="34"/>
      <c r="HH77" s="34"/>
      <c r="HI77" s="31"/>
      <c r="HJ77" s="32"/>
      <c r="HK77" s="33"/>
      <c r="HL77" s="33"/>
      <c r="HM77" s="34"/>
      <c r="HN77" s="34"/>
      <c r="HO77" s="34"/>
      <c r="HP77" s="34"/>
      <c r="HQ77" s="31"/>
      <c r="HR77" s="32"/>
      <c r="HS77" s="33"/>
      <c r="HT77" s="33"/>
      <c r="HU77" s="34"/>
      <c r="HV77" s="34"/>
      <c r="HW77" s="34"/>
      <c r="HX77" s="34"/>
      <c r="HY77" s="31"/>
      <c r="HZ77" s="32"/>
      <c r="IA77" s="33"/>
      <c r="IB77" s="33"/>
      <c r="IC77" s="34"/>
      <c r="ID77" s="34"/>
      <c r="IE77" s="34"/>
      <c r="IF77" s="34"/>
      <c r="IG77" s="31"/>
      <c r="IH77" s="32"/>
      <c r="II77" s="33"/>
      <c r="IJ77" s="33"/>
      <c r="IK77" s="34"/>
      <c r="IL77" s="34"/>
      <c r="IM77" s="34"/>
      <c r="IN77" s="34"/>
      <c r="IO77" s="31"/>
      <c r="IP77" s="32"/>
      <c r="IQ77" s="33"/>
      <c r="IR77" s="33"/>
      <c r="IS77" s="34"/>
      <c r="IT77" s="34"/>
      <c r="IU77" s="34"/>
      <c r="IV77" s="34"/>
    </row>
    <row r="78" spans="1:256" s="35" customFormat="1" ht="15.75" customHeight="1">
      <c r="A78" s="22"/>
      <c r="B78" s="23" t="s">
        <v>354</v>
      </c>
      <c r="C78" s="26" t="s">
        <v>53</v>
      </c>
      <c r="D78" s="26">
        <f>0.25+0.24+0.15</f>
        <v>0.64</v>
      </c>
      <c r="E78" s="25"/>
      <c r="F78" s="25"/>
      <c r="G78" s="110">
        <v>0</v>
      </c>
      <c r="H78" s="53">
        <v>0</v>
      </c>
      <c r="I78" s="155" t="s">
        <v>438</v>
      </c>
      <c r="J78" s="32"/>
      <c r="K78" s="33"/>
      <c r="L78" s="33"/>
      <c r="M78" s="34"/>
      <c r="N78" s="34"/>
      <c r="O78" s="34"/>
      <c r="P78" s="34"/>
      <c r="Q78" s="31"/>
      <c r="R78" s="32"/>
      <c r="S78" s="33"/>
      <c r="T78" s="33"/>
      <c r="U78" s="34"/>
      <c r="V78" s="34"/>
      <c r="W78" s="34"/>
      <c r="X78" s="34"/>
      <c r="Y78" s="31"/>
      <c r="Z78" s="32"/>
      <c r="AA78" s="33"/>
      <c r="AB78" s="33"/>
      <c r="AC78" s="34"/>
      <c r="AD78" s="34"/>
      <c r="AE78" s="34"/>
      <c r="AF78" s="34"/>
      <c r="AG78" s="31"/>
      <c r="AH78" s="32"/>
      <c r="AI78" s="33"/>
      <c r="AJ78" s="33"/>
      <c r="AK78" s="34"/>
      <c r="AL78" s="34"/>
      <c r="AM78" s="34"/>
      <c r="AN78" s="34"/>
      <c r="AO78" s="31"/>
      <c r="AP78" s="32"/>
      <c r="AQ78" s="33"/>
      <c r="AR78" s="33"/>
      <c r="AS78" s="34"/>
      <c r="AT78" s="34"/>
      <c r="AU78" s="34"/>
      <c r="AV78" s="34"/>
      <c r="AW78" s="31"/>
      <c r="AX78" s="32"/>
      <c r="AY78" s="33"/>
      <c r="AZ78" s="33"/>
      <c r="BA78" s="34"/>
      <c r="BB78" s="34"/>
      <c r="BC78" s="34"/>
      <c r="BD78" s="34"/>
      <c r="BE78" s="31"/>
      <c r="BF78" s="32"/>
      <c r="BG78" s="33"/>
      <c r="BH78" s="33"/>
      <c r="BI78" s="34"/>
      <c r="BJ78" s="34"/>
      <c r="BK78" s="34"/>
      <c r="BL78" s="34"/>
      <c r="BM78" s="31"/>
      <c r="BN78" s="32"/>
      <c r="BO78" s="33"/>
      <c r="BP78" s="33"/>
      <c r="BQ78" s="34"/>
      <c r="BR78" s="34"/>
      <c r="BS78" s="34"/>
      <c r="BT78" s="34"/>
      <c r="BU78" s="31"/>
      <c r="BV78" s="32"/>
      <c r="BW78" s="33"/>
      <c r="BX78" s="33"/>
      <c r="BY78" s="34"/>
      <c r="BZ78" s="34"/>
      <c r="CA78" s="34"/>
      <c r="CB78" s="34"/>
      <c r="CC78" s="31"/>
      <c r="CD78" s="32"/>
      <c r="CE78" s="33"/>
      <c r="CF78" s="33"/>
      <c r="CG78" s="34"/>
      <c r="CH78" s="34"/>
      <c r="CI78" s="34"/>
      <c r="CJ78" s="34"/>
      <c r="CK78" s="31"/>
      <c r="CL78" s="32"/>
      <c r="CM78" s="33"/>
      <c r="CN78" s="33"/>
      <c r="CO78" s="34"/>
      <c r="CP78" s="34"/>
      <c r="CQ78" s="34"/>
      <c r="CR78" s="34"/>
      <c r="CS78" s="31"/>
      <c r="CT78" s="32"/>
      <c r="CU78" s="33"/>
      <c r="CV78" s="33"/>
      <c r="CW78" s="34"/>
      <c r="CX78" s="34"/>
      <c r="CY78" s="34"/>
      <c r="CZ78" s="34"/>
      <c r="DA78" s="31"/>
      <c r="DB78" s="32"/>
      <c r="DC78" s="33"/>
      <c r="DD78" s="33"/>
      <c r="DE78" s="34"/>
      <c r="DF78" s="34"/>
      <c r="DG78" s="34"/>
      <c r="DH78" s="34"/>
      <c r="DI78" s="31"/>
      <c r="DJ78" s="32"/>
      <c r="DK78" s="33"/>
      <c r="DL78" s="33"/>
      <c r="DM78" s="34"/>
      <c r="DN78" s="34"/>
      <c r="DO78" s="34"/>
      <c r="DP78" s="34"/>
      <c r="DQ78" s="31"/>
      <c r="DR78" s="32"/>
      <c r="DS78" s="33"/>
      <c r="DT78" s="33"/>
      <c r="DU78" s="34"/>
      <c r="DV78" s="34"/>
      <c r="DW78" s="34"/>
      <c r="DX78" s="34"/>
      <c r="DY78" s="31"/>
      <c r="DZ78" s="32"/>
      <c r="EA78" s="33"/>
      <c r="EB78" s="33"/>
      <c r="EC78" s="34"/>
      <c r="ED78" s="34"/>
      <c r="EE78" s="34"/>
      <c r="EF78" s="34"/>
      <c r="EG78" s="31"/>
      <c r="EH78" s="32"/>
      <c r="EI78" s="33"/>
      <c r="EJ78" s="33"/>
      <c r="EK78" s="34"/>
      <c r="EL78" s="34"/>
      <c r="EM78" s="34"/>
      <c r="EN78" s="34"/>
      <c r="EO78" s="31"/>
      <c r="EP78" s="32"/>
      <c r="EQ78" s="33"/>
      <c r="ER78" s="33"/>
      <c r="ES78" s="34"/>
      <c r="ET78" s="34"/>
      <c r="EU78" s="34"/>
      <c r="EV78" s="34"/>
      <c r="EW78" s="31"/>
      <c r="EX78" s="32"/>
      <c r="EY78" s="33"/>
      <c r="EZ78" s="33"/>
      <c r="FA78" s="34"/>
      <c r="FB78" s="34"/>
      <c r="FC78" s="34"/>
      <c r="FD78" s="34"/>
      <c r="FE78" s="31"/>
      <c r="FF78" s="32"/>
      <c r="FG78" s="33"/>
      <c r="FH78" s="33"/>
      <c r="FI78" s="34"/>
      <c r="FJ78" s="34"/>
      <c r="FK78" s="34"/>
      <c r="FL78" s="34"/>
      <c r="FM78" s="31"/>
      <c r="FN78" s="32"/>
      <c r="FO78" s="33"/>
      <c r="FP78" s="33"/>
      <c r="FQ78" s="34"/>
      <c r="FR78" s="34"/>
      <c r="FS78" s="34"/>
      <c r="FT78" s="34"/>
      <c r="FU78" s="31"/>
      <c r="FV78" s="32"/>
      <c r="FW78" s="33"/>
      <c r="FX78" s="33"/>
      <c r="FY78" s="34"/>
      <c r="FZ78" s="34"/>
      <c r="GA78" s="34"/>
      <c r="GB78" s="34"/>
      <c r="GC78" s="31"/>
      <c r="GD78" s="32"/>
      <c r="GE78" s="33"/>
      <c r="GF78" s="33"/>
      <c r="GG78" s="34"/>
      <c r="GH78" s="34"/>
      <c r="GI78" s="34"/>
      <c r="GJ78" s="34"/>
      <c r="GK78" s="31"/>
      <c r="GL78" s="32"/>
      <c r="GM78" s="33"/>
      <c r="GN78" s="33"/>
      <c r="GO78" s="34"/>
      <c r="GP78" s="34"/>
      <c r="GQ78" s="34"/>
      <c r="GR78" s="34"/>
      <c r="GS78" s="31"/>
      <c r="GT78" s="32"/>
      <c r="GU78" s="33"/>
      <c r="GV78" s="33"/>
      <c r="GW78" s="34"/>
      <c r="GX78" s="34"/>
      <c r="GY78" s="34"/>
      <c r="GZ78" s="34"/>
      <c r="HA78" s="31"/>
      <c r="HB78" s="32"/>
      <c r="HC78" s="33"/>
      <c r="HD78" s="33"/>
      <c r="HE78" s="34"/>
      <c r="HF78" s="34"/>
      <c r="HG78" s="34"/>
      <c r="HH78" s="34"/>
      <c r="HI78" s="31"/>
      <c r="HJ78" s="32"/>
      <c r="HK78" s="33"/>
      <c r="HL78" s="33"/>
      <c r="HM78" s="34"/>
      <c r="HN78" s="34"/>
      <c r="HO78" s="34"/>
      <c r="HP78" s="34"/>
      <c r="HQ78" s="31"/>
      <c r="HR78" s="32"/>
      <c r="HS78" s="33"/>
      <c r="HT78" s="33"/>
      <c r="HU78" s="34"/>
      <c r="HV78" s="34"/>
      <c r="HW78" s="34"/>
      <c r="HX78" s="34"/>
      <c r="HY78" s="31"/>
      <c r="HZ78" s="32"/>
      <c r="IA78" s="33"/>
      <c r="IB78" s="33"/>
      <c r="IC78" s="34"/>
      <c r="ID78" s="34"/>
      <c r="IE78" s="34"/>
      <c r="IF78" s="34"/>
      <c r="IG78" s="31"/>
      <c r="IH78" s="32"/>
      <c r="II78" s="33"/>
      <c r="IJ78" s="33"/>
      <c r="IK78" s="34"/>
      <c r="IL78" s="34"/>
      <c r="IM78" s="34"/>
      <c r="IN78" s="34"/>
      <c r="IO78" s="31"/>
      <c r="IP78" s="32"/>
      <c r="IQ78" s="33"/>
      <c r="IR78" s="33"/>
      <c r="IS78" s="34"/>
      <c r="IT78" s="34"/>
      <c r="IU78" s="34"/>
      <c r="IV78" s="34"/>
    </row>
    <row r="79" spans="1:256" s="35" customFormat="1" ht="15.75" customHeight="1">
      <c r="A79" s="22"/>
      <c r="B79" s="29" t="s">
        <v>228</v>
      </c>
      <c r="C79" s="26"/>
      <c r="D79" s="26"/>
      <c r="E79" s="25"/>
      <c r="F79" s="25"/>
      <c r="G79" s="110">
        <v>0</v>
      </c>
      <c r="H79" s="53">
        <v>0</v>
      </c>
      <c r="I79" s="154"/>
      <c r="J79" s="32"/>
      <c r="K79" s="33"/>
      <c r="L79" s="33"/>
      <c r="M79" s="34"/>
      <c r="N79" s="34"/>
      <c r="O79" s="34"/>
      <c r="P79" s="34"/>
      <c r="Q79" s="31"/>
      <c r="R79" s="32"/>
      <c r="S79" s="33"/>
      <c r="T79" s="33"/>
      <c r="U79" s="34"/>
      <c r="V79" s="34"/>
      <c r="W79" s="34"/>
      <c r="X79" s="34"/>
      <c r="Y79" s="31"/>
      <c r="Z79" s="32"/>
      <c r="AA79" s="33"/>
      <c r="AB79" s="33"/>
      <c r="AC79" s="34"/>
      <c r="AD79" s="34"/>
      <c r="AE79" s="34"/>
      <c r="AF79" s="34"/>
      <c r="AG79" s="31"/>
      <c r="AH79" s="32"/>
      <c r="AI79" s="33"/>
      <c r="AJ79" s="33"/>
      <c r="AK79" s="34"/>
      <c r="AL79" s="34"/>
      <c r="AM79" s="34"/>
      <c r="AN79" s="34"/>
      <c r="AO79" s="31"/>
      <c r="AP79" s="32"/>
      <c r="AQ79" s="33"/>
      <c r="AR79" s="33"/>
      <c r="AS79" s="34"/>
      <c r="AT79" s="34"/>
      <c r="AU79" s="34"/>
      <c r="AV79" s="34"/>
      <c r="AW79" s="31"/>
      <c r="AX79" s="32"/>
      <c r="AY79" s="33"/>
      <c r="AZ79" s="33"/>
      <c r="BA79" s="34"/>
      <c r="BB79" s="34"/>
      <c r="BC79" s="34"/>
      <c r="BD79" s="34"/>
      <c r="BE79" s="31"/>
      <c r="BF79" s="32"/>
      <c r="BG79" s="33"/>
      <c r="BH79" s="33"/>
      <c r="BI79" s="34"/>
      <c r="BJ79" s="34"/>
      <c r="BK79" s="34"/>
      <c r="BL79" s="34"/>
      <c r="BM79" s="31"/>
      <c r="BN79" s="32"/>
      <c r="BO79" s="33"/>
      <c r="BP79" s="33"/>
      <c r="BQ79" s="34"/>
      <c r="BR79" s="34"/>
      <c r="BS79" s="34"/>
      <c r="BT79" s="34"/>
      <c r="BU79" s="31"/>
      <c r="BV79" s="32"/>
      <c r="BW79" s="33"/>
      <c r="BX79" s="33"/>
      <c r="BY79" s="34"/>
      <c r="BZ79" s="34"/>
      <c r="CA79" s="34"/>
      <c r="CB79" s="34"/>
      <c r="CC79" s="31"/>
      <c r="CD79" s="32"/>
      <c r="CE79" s="33"/>
      <c r="CF79" s="33"/>
      <c r="CG79" s="34"/>
      <c r="CH79" s="34"/>
      <c r="CI79" s="34"/>
      <c r="CJ79" s="34"/>
      <c r="CK79" s="31"/>
      <c r="CL79" s="32"/>
      <c r="CM79" s="33"/>
      <c r="CN79" s="33"/>
      <c r="CO79" s="34"/>
      <c r="CP79" s="34"/>
      <c r="CQ79" s="34"/>
      <c r="CR79" s="34"/>
      <c r="CS79" s="31"/>
      <c r="CT79" s="32"/>
      <c r="CU79" s="33"/>
      <c r="CV79" s="33"/>
      <c r="CW79" s="34"/>
      <c r="CX79" s="34"/>
      <c r="CY79" s="34"/>
      <c r="CZ79" s="34"/>
      <c r="DA79" s="31"/>
      <c r="DB79" s="32"/>
      <c r="DC79" s="33"/>
      <c r="DD79" s="33"/>
      <c r="DE79" s="34"/>
      <c r="DF79" s="34"/>
      <c r="DG79" s="34"/>
      <c r="DH79" s="34"/>
      <c r="DI79" s="31"/>
      <c r="DJ79" s="32"/>
      <c r="DK79" s="33"/>
      <c r="DL79" s="33"/>
      <c r="DM79" s="34"/>
      <c r="DN79" s="34"/>
      <c r="DO79" s="34"/>
      <c r="DP79" s="34"/>
      <c r="DQ79" s="31"/>
      <c r="DR79" s="32"/>
      <c r="DS79" s="33"/>
      <c r="DT79" s="33"/>
      <c r="DU79" s="34"/>
      <c r="DV79" s="34"/>
      <c r="DW79" s="34"/>
      <c r="DX79" s="34"/>
      <c r="DY79" s="31"/>
      <c r="DZ79" s="32"/>
      <c r="EA79" s="33"/>
      <c r="EB79" s="33"/>
      <c r="EC79" s="34"/>
      <c r="ED79" s="34"/>
      <c r="EE79" s="34"/>
      <c r="EF79" s="34"/>
      <c r="EG79" s="31"/>
      <c r="EH79" s="32"/>
      <c r="EI79" s="33"/>
      <c r="EJ79" s="33"/>
      <c r="EK79" s="34"/>
      <c r="EL79" s="34"/>
      <c r="EM79" s="34"/>
      <c r="EN79" s="34"/>
      <c r="EO79" s="31"/>
      <c r="EP79" s="32"/>
      <c r="EQ79" s="33"/>
      <c r="ER79" s="33"/>
      <c r="ES79" s="34"/>
      <c r="ET79" s="34"/>
      <c r="EU79" s="34"/>
      <c r="EV79" s="34"/>
      <c r="EW79" s="31"/>
      <c r="EX79" s="32"/>
      <c r="EY79" s="33"/>
      <c r="EZ79" s="33"/>
      <c r="FA79" s="34"/>
      <c r="FB79" s="34"/>
      <c r="FC79" s="34"/>
      <c r="FD79" s="34"/>
      <c r="FE79" s="31"/>
      <c r="FF79" s="32"/>
      <c r="FG79" s="33"/>
      <c r="FH79" s="33"/>
      <c r="FI79" s="34"/>
      <c r="FJ79" s="34"/>
      <c r="FK79" s="34"/>
      <c r="FL79" s="34"/>
      <c r="FM79" s="31"/>
      <c r="FN79" s="32"/>
      <c r="FO79" s="33"/>
      <c r="FP79" s="33"/>
      <c r="FQ79" s="34"/>
      <c r="FR79" s="34"/>
      <c r="FS79" s="34"/>
      <c r="FT79" s="34"/>
      <c r="FU79" s="31"/>
      <c r="FV79" s="32"/>
      <c r="FW79" s="33"/>
      <c r="FX79" s="33"/>
      <c r="FY79" s="34"/>
      <c r="FZ79" s="34"/>
      <c r="GA79" s="34"/>
      <c r="GB79" s="34"/>
      <c r="GC79" s="31"/>
      <c r="GD79" s="32"/>
      <c r="GE79" s="33"/>
      <c r="GF79" s="33"/>
      <c r="GG79" s="34"/>
      <c r="GH79" s="34"/>
      <c r="GI79" s="34"/>
      <c r="GJ79" s="34"/>
      <c r="GK79" s="31"/>
      <c r="GL79" s="32"/>
      <c r="GM79" s="33"/>
      <c r="GN79" s="33"/>
      <c r="GO79" s="34"/>
      <c r="GP79" s="34"/>
      <c r="GQ79" s="34"/>
      <c r="GR79" s="34"/>
      <c r="GS79" s="31"/>
      <c r="GT79" s="32"/>
      <c r="GU79" s="33"/>
      <c r="GV79" s="33"/>
      <c r="GW79" s="34"/>
      <c r="GX79" s="34"/>
      <c r="GY79" s="34"/>
      <c r="GZ79" s="34"/>
      <c r="HA79" s="31"/>
      <c r="HB79" s="32"/>
      <c r="HC79" s="33"/>
      <c r="HD79" s="33"/>
      <c r="HE79" s="34"/>
      <c r="HF79" s="34"/>
      <c r="HG79" s="34"/>
      <c r="HH79" s="34"/>
      <c r="HI79" s="31"/>
      <c r="HJ79" s="32"/>
      <c r="HK79" s="33"/>
      <c r="HL79" s="33"/>
      <c r="HM79" s="34"/>
      <c r="HN79" s="34"/>
      <c r="HO79" s="34"/>
      <c r="HP79" s="34"/>
      <c r="HQ79" s="31"/>
      <c r="HR79" s="32"/>
      <c r="HS79" s="33"/>
      <c r="HT79" s="33"/>
      <c r="HU79" s="34"/>
      <c r="HV79" s="34"/>
      <c r="HW79" s="34"/>
      <c r="HX79" s="34"/>
      <c r="HY79" s="31"/>
      <c r="HZ79" s="32"/>
      <c r="IA79" s="33"/>
      <c r="IB79" s="33"/>
      <c r="IC79" s="34"/>
      <c r="ID79" s="34"/>
      <c r="IE79" s="34"/>
      <c r="IF79" s="34"/>
      <c r="IG79" s="31"/>
      <c r="IH79" s="32"/>
      <c r="II79" s="33"/>
      <c r="IJ79" s="33"/>
      <c r="IK79" s="34"/>
      <c r="IL79" s="34"/>
      <c r="IM79" s="34"/>
      <c r="IN79" s="34"/>
      <c r="IO79" s="31"/>
      <c r="IP79" s="32"/>
      <c r="IQ79" s="33"/>
      <c r="IR79" s="33"/>
      <c r="IS79" s="34"/>
      <c r="IT79" s="34"/>
      <c r="IU79" s="34"/>
      <c r="IV79" s="34"/>
    </row>
    <row r="80" spans="1:256" s="35" customFormat="1" ht="17.25" customHeight="1">
      <c r="A80" s="22"/>
      <c r="B80" s="23" t="s">
        <v>227</v>
      </c>
      <c r="C80" s="26"/>
      <c r="D80" s="26"/>
      <c r="E80" s="25"/>
      <c r="F80" s="25"/>
      <c r="G80" s="110">
        <v>0</v>
      </c>
      <c r="H80" s="53">
        <v>0</v>
      </c>
      <c r="I80" s="154"/>
      <c r="J80" s="32"/>
      <c r="K80" s="33"/>
      <c r="L80" s="33"/>
      <c r="M80" s="34"/>
      <c r="N80" s="34"/>
      <c r="O80" s="34"/>
      <c r="P80" s="34"/>
      <c r="Q80" s="31"/>
      <c r="R80" s="32"/>
      <c r="S80" s="33"/>
      <c r="T80" s="33"/>
      <c r="U80" s="34"/>
      <c r="V80" s="34"/>
      <c r="W80" s="34"/>
      <c r="X80" s="34"/>
      <c r="Y80" s="31"/>
      <c r="Z80" s="32"/>
      <c r="AA80" s="33"/>
      <c r="AB80" s="33"/>
      <c r="AC80" s="34"/>
      <c r="AD80" s="34"/>
      <c r="AE80" s="34"/>
      <c r="AF80" s="34"/>
      <c r="AG80" s="31"/>
      <c r="AH80" s="32"/>
      <c r="AI80" s="33"/>
      <c r="AJ80" s="33"/>
      <c r="AK80" s="34"/>
      <c r="AL80" s="34"/>
      <c r="AM80" s="34"/>
      <c r="AN80" s="34"/>
      <c r="AO80" s="31"/>
      <c r="AP80" s="32"/>
      <c r="AQ80" s="33"/>
      <c r="AR80" s="33"/>
      <c r="AS80" s="34"/>
      <c r="AT80" s="34"/>
      <c r="AU80" s="34"/>
      <c r="AV80" s="34"/>
      <c r="AW80" s="31"/>
      <c r="AX80" s="32"/>
      <c r="AY80" s="33"/>
      <c r="AZ80" s="33"/>
      <c r="BA80" s="34"/>
      <c r="BB80" s="34"/>
      <c r="BC80" s="34"/>
      <c r="BD80" s="34"/>
      <c r="BE80" s="31"/>
      <c r="BF80" s="32"/>
      <c r="BG80" s="33"/>
      <c r="BH80" s="33"/>
      <c r="BI80" s="34"/>
      <c r="BJ80" s="34"/>
      <c r="BK80" s="34"/>
      <c r="BL80" s="34"/>
      <c r="BM80" s="31"/>
      <c r="BN80" s="32"/>
      <c r="BO80" s="33"/>
      <c r="BP80" s="33"/>
      <c r="BQ80" s="34"/>
      <c r="BR80" s="34"/>
      <c r="BS80" s="34"/>
      <c r="BT80" s="34"/>
      <c r="BU80" s="31"/>
      <c r="BV80" s="32"/>
      <c r="BW80" s="33"/>
      <c r="BX80" s="33"/>
      <c r="BY80" s="34"/>
      <c r="BZ80" s="34"/>
      <c r="CA80" s="34"/>
      <c r="CB80" s="34"/>
      <c r="CC80" s="31"/>
      <c r="CD80" s="32"/>
      <c r="CE80" s="33"/>
      <c r="CF80" s="33"/>
      <c r="CG80" s="34"/>
      <c r="CH80" s="34"/>
      <c r="CI80" s="34"/>
      <c r="CJ80" s="34"/>
      <c r="CK80" s="31"/>
      <c r="CL80" s="32"/>
      <c r="CM80" s="33"/>
      <c r="CN80" s="33"/>
      <c r="CO80" s="34"/>
      <c r="CP80" s="34"/>
      <c r="CQ80" s="34"/>
      <c r="CR80" s="34"/>
      <c r="CS80" s="31"/>
      <c r="CT80" s="32"/>
      <c r="CU80" s="33"/>
      <c r="CV80" s="33"/>
      <c r="CW80" s="34"/>
      <c r="CX80" s="34"/>
      <c r="CY80" s="34"/>
      <c r="CZ80" s="34"/>
      <c r="DA80" s="31"/>
      <c r="DB80" s="32"/>
      <c r="DC80" s="33"/>
      <c r="DD80" s="33"/>
      <c r="DE80" s="34"/>
      <c r="DF80" s="34"/>
      <c r="DG80" s="34"/>
      <c r="DH80" s="34"/>
      <c r="DI80" s="31"/>
      <c r="DJ80" s="32"/>
      <c r="DK80" s="33"/>
      <c r="DL80" s="33"/>
      <c r="DM80" s="34"/>
      <c r="DN80" s="34"/>
      <c r="DO80" s="34"/>
      <c r="DP80" s="34"/>
      <c r="DQ80" s="31"/>
      <c r="DR80" s="32"/>
      <c r="DS80" s="33"/>
      <c r="DT80" s="33"/>
      <c r="DU80" s="34"/>
      <c r="DV80" s="34"/>
      <c r="DW80" s="34"/>
      <c r="DX80" s="34"/>
      <c r="DY80" s="31"/>
      <c r="DZ80" s="32"/>
      <c r="EA80" s="33"/>
      <c r="EB80" s="33"/>
      <c r="EC80" s="34"/>
      <c r="ED80" s="34"/>
      <c r="EE80" s="34"/>
      <c r="EF80" s="34"/>
      <c r="EG80" s="31"/>
      <c r="EH80" s="32"/>
      <c r="EI80" s="33"/>
      <c r="EJ80" s="33"/>
      <c r="EK80" s="34"/>
      <c r="EL80" s="34"/>
      <c r="EM80" s="34"/>
      <c r="EN80" s="34"/>
      <c r="EO80" s="31"/>
      <c r="EP80" s="32"/>
      <c r="EQ80" s="33"/>
      <c r="ER80" s="33"/>
      <c r="ES80" s="34"/>
      <c r="ET80" s="34"/>
      <c r="EU80" s="34"/>
      <c r="EV80" s="34"/>
      <c r="EW80" s="31"/>
      <c r="EX80" s="32"/>
      <c r="EY80" s="33"/>
      <c r="EZ80" s="33"/>
      <c r="FA80" s="34"/>
      <c r="FB80" s="34"/>
      <c r="FC80" s="34"/>
      <c r="FD80" s="34"/>
      <c r="FE80" s="31"/>
      <c r="FF80" s="32"/>
      <c r="FG80" s="33"/>
      <c r="FH80" s="33"/>
      <c r="FI80" s="34"/>
      <c r="FJ80" s="34"/>
      <c r="FK80" s="34"/>
      <c r="FL80" s="34"/>
      <c r="FM80" s="31"/>
      <c r="FN80" s="32"/>
      <c r="FO80" s="33"/>
      <c r="FP80" s="33"/>
      <c r="FQ80" s="34"/>
      <c r="FR80" s="34"/>
      <c r="FS80" s="34"/>
      <c r="FT80" s="34"/>
      <c r="FU80" s="31"/>
      <c r="FV80" s="32"/>
      <c r="FW80" s="33"/>
      <c r="FX80" s="33"/>
      <c r="FY80" s="34"/>
      <c r="FZ80" s="34"/>
      <c r="GA80" s="34"/>
      <c r="GB80" s="34"/>
      <c r="GC80" s="31"/>
      <c r="GD80" s="32"/>
      <c r="GE80" s="33"/>
      <c r="GF80" s="33"/>
      <c r="GG80" s="34"/>
      <c r="GH80" s="34"/>
      <c r="GI80" s="34"/>
      <c r="GJ80" s="34"/>
      <c r="GK80" s="31"/>
      <c r="GL80" s="32"/>
      <c r="GM80" s="33"/>
      <c r="GN80" s="33"/>
      <c r="GO80" s="34"/>
      <c r="GP80" s="34"/>
      <c r="GQ80" s="34"/>
      <c r="GR80" s="34"/>
      <c r="GS80" s="31"/>
      <c r="GT80" s="32"/>
      <c r="GU80" s="33"/>
      <c r="GV80" s="33"/>
      <c r="GW80" s="34"/>
      <c r="GX80" s="34"/>
      <c r="GY80" s="34"/>
      <c r="GZ80" s="34"/>
      <c r="HA80" s="31"/>
      <c r="HB80" s="32"/>
      <c r="HC80" s="33"/>
      <c r="HD80" s="33"/>
      <c r="HE80" s="34"/>
      <c r="HF80" s="34"/>
      <c r="HG80" s="34"/>
      <c r="HH80" s="34"/>
      <c r="HI80" s="31"/>
      <c r="HJ80" s="32"/>
      <c r="HK80" s="33"/>
      <c r="HL80" s="33"/>
      <c r="HM80" s="34"/>
      <c r="HN80" s="34"/>
      <c r="HO80" s="34"/>
      <c r="HP80" s="34"/>
      <c r="HQ80" s="31"/>
      <c r="HR80" s="32"/>
      <c r="HS80" s="33"/>
      <c r="HT80" s="33"/>
      <c r="HU80" s="34"/>
      <c r="HV80" s="34"/>
      <c r="HW80" s="34"/>
      <c r="HX80" s="34"/>
      <c r="HY80" s="31"/>
      <c r="HZ80" s="32"/>
      <c r="IA80" s="33"/>
      <c r="IB80" s="33"/>
      <c r="IC80" s="34"/>
      <c r="ID80" s="34"/>
      <c r="IE80" s="34"/>
      <c r="IF80" s="34"/>
      <c r="IG80" s="31"/>
      <c r="IH80" s="32"/>
      <c r="II80" s="33"/>
      <c r="IJ80" s="33"/>
      <c r="IK80" s="34"/>
      <c r="IL80" s="34"/>
      <c r="IM80" s="34"/>
      <c r="IN80" s="34"/>
      <c r="IO80" s="31"/>
      <c r="IP80" s="32"/>
      <c r="IQ80" s="33"/>
      <c r="IR80" s="33"/>
      <c r="IS80" s="34"/>
      <c r="IT80" s="34"/>
      <c r="IU80" s="34"/>
      <c r="IV80" s="34"/>
    </row>
    <row r="81" spans="1:256" s="35" customFormat="1" ht="12.75">
      <c r="A81" s="22"/>
      <c r="B81" s="23" t="s">
        <v>229</v>
      </c>
      <c r="C81" s="26"/>
      <c r="D81" s="26"/>
      <c r="E81" s="25"/>
      <c r="F81" s="25"/>
      <c r="G81" s="110">
        <v>0</v>
      </c>
      <c r="H81" s="53">
        <v>0</v>
      </c>
      <c r="I81" s="22"/>
      <c r="J81" s="32"/>
      <c r="K81" s="33"/>
      <c r="L81" s="33"/>
      <c r="M81" s="34"/>
      <c r="N81" s="34"/>
      <c r="O81" s="34"/>
      <c r="P81" s="34"/>
      <c r="Q81" s="31"/>
      <c r="R81" s="32"/>
      <c r="S81" s="33"/>
      <c r="T81" s="33"/>
      <c r="U81" s="34"/>
      <c r="V81" s="34"/>
      <c r="W81" s="34"/>
      <c r="X81" s="34"/>
      <c r="Y81" s="31"/>
      <c r="Z81" s="32"/>
      <c r="AA81" s="33"/>
      <c r="AB81" s="33"/>
      <c r="AC81" s="34"/>
      <c r="AD81" s="34"/>
      <c r="AE81" s="34"/>
      <c r="AF81" s="34"/>
      <c r="AG81" s="31"/>
      <c r="AH81" s="32"/>
      <c r="AI81" s="33"/>
      <c r="AJ81" s="33"/>
      <c r="AK81" s="34"/>
      <c r="AL81" s="34"/>
      <c r="AM81" s="34"/>
      <c r="AN81" s="34"/>
      <c r="AO81" s="31"/>
      <c r="AP81" s="32"/>
      <c r="AQ81" s="33"/>
      <c r="AR81" s="33"/>
      <c r="AS81" s="34"/>
      <c r="AT81" s="34"/>
      <c r="AU81" s="34"/>
      <c r="AV81" s="34"/>
      <c r="AW81" s="31"/>
      <c r="AX81" s="32"/>
      <c r="AY81" s="33"/>
      <c r="AZ81" s="33"/>
      <c r="BA81" s="34"/>
      <c r="BB81" s="34"/>
      <c r="BC81" s="34"/>
      <c r="BD81" s="34"/>
      <c r="BE81" s="31"/>
      <c r="BF81" s="32"/>
      <c r="BG81" s="33"/>
      <c r="BH81" s="33"/>
      <c r="BI81" s="34"/>
      <c r="BJ81" s="34"/>
      <c r="BK81" s="34"/>
      <c r="BL81" s="34"/>
      <c r="BM81" s="31"/>
      <c r="BN81" s="32"/>
      <c r="BO81" s="33"/>
      <c r="BP81" s="33"/>
      <c r="BQ81" s="34"/>
      <c r="BR81" s="34"/>
      <c r="BS81" s="34"/>
      <c r="BT81" s="34"/>
      <c r="BU81" s="31"/>
      <c r="BV81" s="32"/>
      <c r="BW81" s="33"/>
      <c r="BX81" s="33"/>
      <c r="BY81" s="34"/>
      <c r="BZ81" s="34"/>
      <c r="CA81" s="34"/>
      <c r="CB81" s="34"/>
      <c r="CC81" s="31"/>
      <c r="CD81" s="32"/>
      <c r="CE81" s="33"/>
      <c r="CF81" s="33"/>
      <c r="CG81" s="34"/>
      <c r="CH81" s="34"/>
      <c r="CI81" s="34"/>
      <c r="CJ81" s="34"/>
      <c r="CK81" s="31"/>
      <c r="CL81" s="32"/>
      <c r="CM81" s="33"/>
      <c r="CN81" s="33"/>
      <c r="CO81" s="34"/>
      <c r="CP81" s="34"/>
      <c r="CQ81" s="34"/>
      <c r="CR81" s="34"/>
      <c r="CS81" s="31"/>
      <c r="CT81" s="32"/>
      <c r="CU81" s="33"/>
      <c r="CV81" s="33"/>
      <c r="CW81" s="34"/>
      <c r="CX81" s="34"/>
      <c r="CY81" s="34"/>
      <c r="CZ81" s="34"/>
      <c r="DA81" s="31"/>
      <c r="DB81" s="32"/>
      <c r="DC81" s="33"/>
      <c r="DD81" s="33"/>
      <c r="DE81" s="34"/>
      <c r="DF81" s="34"/>
      <c r="DG81" s="34"/>
      <c r="DH81" s="34"/>
      <c r="DI81" s="31"/>
      <c r="DJ81" s="32"/>
      <c r="DK81" s="33"/>
      <c r="DL81" s="33"/>
      <c r="DM81" s="34"/>
      <c r="DN81" s="34"/>
      <c r="DO81" s="34"/>
      <c r="DP81" s="34"/>
      <c r="DQ81" s="31"/>
      <c r="DR81" s="32"/>
      <c r="DS81" s="33"/>
      <c r="DT81" s="33"/>
      <c r="DU81" s="34"/>
      <c r="DV81" s="34"/>
      <c r="DW81" s="34"/>
      <c r="DX81" s="34"/>
      <c r="DY81" s="31"/>
      <c r="DZ81" s="32"/>
      <c r="EA81" s="33"/>
      <c r="EB81" s="33"/>
      <c r="EC81" s="34"/>
      <c r="ED81" s="34"/>
      <c r="EE81" s="34"/>
      <c r="EF81" s="34"/>
      <c r="EG81" s="31"/>
      <c r="EH81" s="32"/>
      <c r="EI81" s="33"/>
      <c r="EJ81" s="33"/>
      <c r="EK81" s="34"/>
      <c r="EL81" s="34"/>
      <c r="EM81" s="34"/>
      <c r="EN81" s="34"/>
      <c r="EO81" s="31"/>
      <c r="EP81" s="32"/>
      <c r="EQ81" s="33"/>
      <c r="ER81" s="33"/>
      <c r="ES81" s="34"/>
      <c r="ET81" s="34"/>
      <c r="EU81" s="34"/>
      <c r="EV81" s="34"/>
      <c r="EW81" s="31"/>
      <c r="EX81" s="32"/>
      <c r="EY81" s="33"/>
      <c r="EZ81" s="33"/>
      <c r="FA81" s="34"/>
      <c r="FB81" s="34"/>
      <c r="FC81" s="34"/>
      <c r="FD81" s="34"/>
      <c r="FE81" s="31"/>
      <c r="FF81" s="32"/>
      <c r="FG81" s="33"/>
      <c r="FH81" s="33"/>
      <c r="FI81" s="34"/>
      <c r="FJ81" s="34"/>
      <c r="FK81" s="34"/>
      <c r="FL81" s="34"/>
      <c r="FM81" s="31"/>
      <c r="FN81" s="32"/>
      <c r="FO81" s="33"/>
      <c r="FP81" s="33"/>
      <c r="FQ81" s="34"/>
      <c r="FR81" s="34"/>
      <c r="FS81" s="34"/>
      <c r="FT81" s="34"/>
      <c r="FU81" s="31"/>
      <c r="FV81" s="32"/>
      <c r="FW81" s="33"/>
      <c r="FX81" s="33"/>
      <c r="FY81" s="34"/>
      <c r="FZ81" s="34"/>
      <c r="GA81" s="34"/>
      <c r="GB81" s="34"/>
      <c r="GC81" s="31"/>
      <c r="GD81" s="32"/>
      <c r="GE81" s="33"/>
      <c r="GF81" s="33"/>
      <c r="GG81" s="34"/>
      <c r="GH81" s="34"/>
      <c r="GI81" s="34"/>
      <c r="GJ81" s="34"/>
      <c r="GK81" s="31"/>
      <c r="GL81" s="32"/>
      <c r="GM81" s="33"/>
      <c r="GN81" s="33"/>
      <c r="GO81" s="34"/>
      <c r="GP81" s="34"/>
      <c r="GQ81" s="34"/>
      <c r="GR81" s="34"/>
      <c r="GS81" s="31"/>
      <c r="GT81" s="32"/>
      <c r="GU81" s="33"/>
      <c r="GV81" s="33"/>
      <c r="GW81" s="34"/>
      <c r="GX81" s="34"/>
      <c r="GY81" s="34"/>
      <c r="GZ81" s="34"/>
      <c r="HA81" s="31"/>
      <c r="HB81" s="32"/>
      <c r="HC81" s="33"/>
      <c r="HD81" s="33"/>
      <c r="HE81" s="34"/>
      <c r="HF81" s="34"/>
      <c r="HG81" s="34"/>
      <c r="HH81" s="34"/>
      <c r="HI81" s="31"/>
      <c r="HJ81" s="32"/>
      <c r="HK81" s="33"/>
      <c r="HL81" s="33"/>
      <c r="HM81" s="34"/>
      <c r="HN81" s="34"/>
      <c r="HO81" s="34"/>
      <c r="HP81" s="34"/>
      <c r="HQ81" s="31"/>
      <c r="HR81" s="32"/>
      <c r="HS81" s="33"/>
      <c r="HT81" s="33"/>
      <c r="HU81" s="34"/>
      <c r="HV81" s="34"/>
      <c r="HW81" s="34"/>
      <c r="HX81" s="34"/>
      <c r="HY81" s="31"/>
      <c r="HZ81" s="32"/>
      <c r="IA81" s="33"/>
      <c r="IB81" s="33"/>
      <c r="IC81" s="34"/>
      <c r="ID81" s="34"/>
      <c r="IE81" s="34"/>
      <c r="IF81" s="34"/>
      <c r="IG81" s="31"/>
      <c r="IH81" s="32"/>
      <c r="II81" s="33"/>
      <c r="IJ81" s="33"/>
      <c r="IK81" s="34"/>
      <c r="IL81" s="34"/>
      <c r="IM81" s="34"/>
      <c r="IN81" s="34"/>
      <c r="IO81" s="31"/>
      <c r="IP81" s="32"/>
      <c r="IQ81" s="33"/>
      <c r="IR81" s="33"/>
      <c r="IS81" s="34"/>
      <c r="IT81" s="34"/>
      <c r="IU81" s="34"/>
      <c r="IV81" s="34"/>
    </row>
    <row r="82" spans="1:256" s="35" customFormat="1" ht="13.5" customHeight="1">
      <c r="A82" s="22"/>
      <c r="B82" s="60" t="s">
        <v>67</v>
      </c>
      <c r="C82" s="26"/>
      <c r="D82" s="26"/>
      <c r="E82" s="25"/>
      <c r="F82" s="25"/>
      <c r="G82" s="110">
        <v>0</v>
      </c>
      <c r="H82" s="53">
        <v>0</v>
      </c>
      <c r="I82" s="22"/>
      <c r="J82" s="32"/>
      <c r="K82" s="33"/>
      <c r="L82" s="33"/>
      <c r="M82" s="34"/>
      <c r="N82" s="34"/>
      <c r="O82" s="34"/>
      <c r="P82" s="34"/>
      <c r="Q82" s="31"/>
      <c r="R82" s="32"/>
      <c r="S82" s="33"/>
      <c r="T82" s="33"/>
      <c r="U82" s="34"/>
      <c r="V82" s="34"/>
      <c r="W82" s="34"/>
      <c r="X82" s="34"/>
      <c r="Y82" s="31"/>
      <c r="Z82" s="32"/>
      <c r="AA82" s="33"/>
      <c r="AB82" s="33"/>
      <c r="AC82" s="34"/>
      <c r="AD82" s="34"/>
      <c r="AE82" s="34"/>
      <c r="AF82" s="34"/>
      <c r="AG82" s="31"/>
      <c r="AH82" s="32"/>
      <c r="AI82" s="33"/>
      <c r="AJ82" s="33"/>
      <c r="AK82" s="34"/>
      <c r="AL82" s="34"/>
      <c r="AM82" s="34"/>
      <c r="AN82" s="34"/>
      <c r="AO82" s="31"/>
      <c r="AP82" s="32"/>
      <c r="AQ82" s="33"/>
      <c r="AR82" s="33"/>
      <c r="AS82" s="34"/>
      <c r="AT82" s="34"/>
      <c r="AU82" s="34"/>
      <c r="AV82" s="34"/>
      <c r="AW82" s="31"/>
      <c r="AX82" s="32"/>
      <c r="AY82" s="33"/>
      <c r="AZ82" s="33"/>
      <c r="BA82" s="34"/>
      <c r="BB82" s="34"/>
      <c r="BC82" s="34"/>
      <c r="BD82" s="34"/>
      <c r="BE82" s="31"/>
      <c r="BF82" s="32"/>
      <c r="BG82" s="33"/>
      <c r="BH82" s="33"/>
      <c r="BI82" s="34"/>
      <c r="BJ82" s="34"/>
      <c r="BK82" s="34"/>
      <c r="BL82" s="34"/>
      <c r="BM82" s="31"/>
      <c r="BN82" s="32"/>
      <c r="BO82" s="33"/>
      <c r="BP82" s="33"/>
      <c r="BQ82" s="34"/>
      <c r="BR82" s="34"/>
      <c r="BS82" s="34"/>
      <c r="BT82" s="34"/>
      <c r="BU82" s="31"/>
      <c r="BV82" s="32"/>
      <c r="BW82" s="33"/>
      <c r="BX82" s="33"/>
      <c r="BY82" s="34"/>
      <c r="BZ82" s="34"/>
      <c r="CA82" s="34"/>
      <c r="CB82" s="34"/>
      <c r="CC82" s="31"/>
      <c r="CD82" s="32"/>
      <c r="CE82" s="33"/>
      <c r="CF82" s="33"/>
      <c r="CG82" s="34"/>
      <c r="CH82" s="34"/>
      <c r="CI82" s="34"/>
      <c r="CJ82" s="34"/>
      <c r="CK82" s="31"/>
      <c r="CL82" s="32"/>
      <c r="CM82" s="33"/>
      <c r="CN82" s="33"/>
      <c r="CO82" s="34"/>
      <c r="CP82" s="34"/>
      <c r="CQ82" s="34"/>
      <c r="CR82" s="34"/>
      <c r="CS82" s="31"/>
      <c r="CT82" s="32"/>
      <c r="CU82" s="33"/>
      <c r="CV82" s="33"/>
      <c r="CW82" s="34"/>
      <c r="CX82" s="34"/>
      <c r="CY82" s="34"/>
      <c r="CZ82" s="34"/>
      <c r="DA82" s="31"/>
      <c r="DB82" s="32"/>
      <c r="DC82" s="33"/>
      <c r="DD82" s="33"/>
      <c r="DE82" s="34"/>
      <c r="DF82" s="34"/>
      <c r="DG82" s="34"/>
      <c r="DH82" s="34"/>
      <c r="DI82" s="31"/>
      <c r="DJ82" s="32"/>
      <c r="DK82" s="33"/>
      <c r="DL82" s="33"/>
      <c r="DM82" s="34"/>
      <c r="DN82" s="34"/>
      <c r="DO82" s="34"/>
      <c r="DP82" s="34"/>
      <c r="DQ82" s="31"/>
      <c r="DR82" s="32"/>
      <c r="DS82" s="33"/>
      <c r="DT82" s="33"/>
      <c r="DU82" s="34"/>
      <c r="DV82" s="34"/>
      <c r="DW82" s="34"/>
      <c r="DX82" s="34"/>
      <c r="DY82" s="31"/>
      <c r="DZ82" s="32"/>
      <c r="EA82" s="33"/>
      <c r="EB82" s="33"/>
      <c r="EC82" s="34"/>
      <c r="ED82" s="34"/>
      <c r="EE82" s="34"/>
      <c r="EF82" s="34"/>
      <c r="EG82" s="31"/>
      <c r="EH82" s="32"/>
      <c r="EI82" s="33"/>
      <c r="EJ82" s="33"/>
      <c r="EK82" s="34"/>
      <c r="EL82" s="34"/>
      <c r="EM82" s="34"/>
      <c r="EN82" s="34"/>
      <c r="EO82" s="31"/>
      <c r="EP82" s="32"/>
      <c r="EQ82" s="33"/>
      <c r="ER82" s="33"/>
      <c r="ES82" s="34"/>
      <c r="ET82" s="34"/>
      <c r="EU82" s="34"/>
      <c r="EV82" s="34"/>
      <c r="EW82" s="31"/>
      <c r="EX82" s="32"/>
      <c r="EY82" s="33"/>
      <c r="EZ82" s="33"/>
      <c r="FA82" s="34"/>
      <c r="FB82" s="34"/>
      <c r="FC82" s="34"/>
      <c r="FD82" s="34"/>
      <c r="FE82" s="31"/>
      <c r="FF82" s="32"/>
      <c r="FG82" s="33"/>
      <c r="FH82" s="33"/>
      <c r="FI82" s="34"/>
      <c r="FJ82" s="34"/>
      <c r="FK82" s="34"/>
      <c r="FL82" s="34"/>
      <c r="FM82" s="31"/>
      <c r="FN82" s="32"/>
      <c r="FO82" s="33"/>
      <c r="FP82" s="33"/>
      <c r="FQ82" s="34"/>
      <c r="FR82" s="34"/>
      <c r="FS82" s="34"/>
      <c r="FT82" s="34"/>
      <c r="FU82" s="31"/>
      <c r="FV82" s="32"/>
      <c r="FW82" s="33"/>
      <c r="FX82" s="33"/>
      <c r="FY82" s="34"/>
      <c r="FZ82" s="34"/>
      <c r="GA82" s="34"/>
      <c r="GB82" s="34"/>
      <c r="GC82" s="31"/>
      <c r="GD82" s="32"/>
      <c r="GE82" s="33"/>
      <c r="GF82" s="33"/>
      <c r="GG82" s="34"/>
      <c r="GH82" s="34"/>
      <c r="GI82" s="34"/>
      <c r="GJ82" s="34"/>
      <c r="GK82" s="31"/>
      <c r="GL82" s="32"/>
      <c r="GM82" s="33"/>
      <c r="GN82" s="33"/>
      <c r="GO82" s="34"/>
      <c r="GP82" s="34"/>
      <c r="GQ82" s="34"/>
      <c r="GR82" s="34"/>
      <c r="GS82" s="31"/>
      <c r="GT82" s="32"/>
      <c r="GU82" s="33"/>
      <c r="GV82" s="33"/>
      <c r="GW82" s="34"/>
      <c r="GX82" s="34"/>
      <c r="GY82" s="34"/>
      <c r="GZ82" s="34"/>
      <c r="HA82" s="31"/>
      <c r="HB82" s="32"/>
      <c r="HC82" s="33"/>
      <c r="HD82" s="33"/>
      <c r="HE82" s="34"/>
      <c r="HF82" s="34"/>
      <c r="HG82" s="34"/>
      <c r="HH82" s="34"/>
      <c r="HI82" s="31"/>
      <c r="HJ82" s="32"/>
      <c r="HK82" s="33"/>
      <c r="HL82" s="33"/>
      <c r="HM82" s="34"/>
      <c r="HN82" s="34"/>
      <c r="HO82" s="34"/>
      <c r="HP82" s="34"/>
      <c r="HQ82" s="31"/>
      <c r="HR82" s="32"/>
      <c r="HS82" s="33"/>
      <c r="HT82" s="33"/>
      <c r="HU82" s="34"/>
      <c r="HV82" s="34"/>
      <c r="HW82" s="34"/>
      <c r="HX82" s="34"/>
      <c r="HY82" s="31"/>
      <c r="HZ82" s="32"/>
      <c r="IA82" s="33"/>
      <c r="IB82" s="33"/>
      <c r="IC82" s="34"/>
      <c r="ID82" s="34"/>
      <c r="IE82" s="34"/>
      <c r="IF82" s="34"/>
      <c r="IG82" s="31"/>
      <c r="IH82" s="32"/>
      <c r="II82" s="33"/>
      <c r="IJ82" s="33"/>
      <c r="IK82" s="34"/>
      <c r="IL82" s="34"/>
      <c r="IM82" s="34"/>
      <c r="IN82" s="34"/>
      <c r="IO82" s="31"/>
      <c r="IP82" s="32"/>
      <c r="IQ82" s="33"/>
      <c r="IR82" s="33"/>
      <c r="IS82" s="34"/>
      <c r="IT82" s="34"/>
      <c r="IU82" s="34"/>
      <c r="IV82" s="34"/>
    </row>
    <row r="83" spans="1:256" s="35" customFormat="1" ht="15.75" customHeight="1">
      <c r="A83" s="22"/>
      <c r="B83" s="23" t="s">
        <v>230</v>
      </c>
      <c r="C83" s="26"/>
      <c r="D83" s="26"/>
      <c r="E83" s="25"/>
      <c r="F83" s="25"/>
      <c r="G83" s="110">
        <v>0</v>
      </c>
      <c r="H83" s="53">
        <v>0</v>
      </c>
      <c r="I83" s="22"/>
      <c r="J83" s="32"/>
      <c r="K83" s="33"/>
      <c r="L83" s="33"/>
      <c r="M83" s="34"/>
      <c r="N83" s="34"/>
      <c r="O83" s="34"/>
      <c r="P83" s="34"/>
      <c r="Q83" s="31"/>
      <c r="R83" s="32"/>
      <c r="S83" s="33"/>
      <c r="T83" s="33"/>
      <c r="U83" s="34"/>
      <c r="V83" s="34"/>
      <c r="W83" s="34"/>
      <c r="X83" s="34"/>
      <c r="Y83" s="31"/>
      <c r="Z83" s="32"/>
      <c r="AA83" s="33"/>
      <c r="AB83" s="33"/>
      <c r="AC83" s="34"/>
      <c r="AD83" s="34"/>
      <c r="AE83" s="34"/>
      <c r="AF83" s="34"/>
      <c r="AG83" s="31"/>
      <c r="AH83" s="32"/>
      <c r="AI83" s="33"/>
      <c r="AJ83" s="33"/>
      <c r="AK83" s="34"/>
      <c r="AL83" s="34"/>
      <c r="AM83" s="34"/>
      <c r="AN83" s="34"/>
      <c r="AO83" s="31"/>
      <c r="AP83" s="32"/>
      <c r="AQ83" s="33"/>
      <c r="AR83" s="33"/>
      <c r="AS83" s="34"/>
      <c r="AT83" s="34"/>
      <c r="AU83" s="34"/>
      <c r="AV83" s="34"/>
      <c r="AW83" s="31"/>
      <c r="AX83" s="32"/>
      <c r="AY83" s="33"/>
      <c r="AZ83" s="33"/>
      <c r="BA83" s="34"/>
      <c r="BB83" s="34"/>
      <c r="BC83" s="34"/>
      <c r="BD83" s="34"/>
      <c r="BE83" s="31"/>
      <c r="BF83" s="32"/>
      <c r="BG83" s="33"/>
      <c r="BH83" s="33"/>
      <c r="BI83" s="34"/>
      <c r="BJ83" s="34"/>
      <c r="BK83" s="34"/>
      <c r="BL83" s="34"/>
      <c r="BM83" s="31"/>
      <c r="BN83" s="32"/>
      <c r="BO83" s="33"/>
      <c r="BP83" s="33"/>
      <c r="BQ83" s="34"/>
      <c r="BR83" s="34"/>
      <c r="BS83" s="34"/>
      <c r="BT83" s="34"/>
      <c r="BU83" s="31"/>
      <c r="BV83" s="32"/>
      <c r="BW83" s="33"/>
      <c r="BX83" s="33"/>
      <c r="BY83" s="34"/>
      <c r="BZ83" s="34"/>
      <c r="CA83" s="34"/>
      <c r="CB83" s="34"/>
      <c r="CC83" s="31"/>
      <c r="CD83" s="32"/>
      <c r="CE83" s="33"/>
      <c r="CF83" s="33"/>
      <c r="CG83" s="34"/>
      <c r="CH83" s="34"/>
      <c r="CI83" s="34"/>
      <c r="CJ83" s="34"/>
      <c r="CK83" s="31"/>
      <c r="CL83" s="32"/>
      <c r="CM83" s="33"/>
      <c r="CN83" s="33"/>
      <c r="CO83" s="34"/>
      <c r="CP83" s="34"/>
      <c r="CQ83" s="34"/>
      <c r="CR83" s="34"/>
      <c r="CS83" s="31"/>
      <c r="CT83" s="32"/>
      <c r="CU83" s="33"/>
      <c r="CV83" s="33"/>
      <c r="CW83" s="34"/>
      <c r="CX83" s="34"/>
      <c r="CY83" s="34"/>
      <c r="CZ83" s="34"/>
      <c r="DA83" s="31"/>
      <c r="DB83" s="32"/>
      <c r="DC83" s="33"/>
      <c r="DD83" s="33"/>
      <c r="DE83" s="34"/>
      <c r="DF83" s="34"/>
      <c r="DG83" s="34"/>
      <c r="DH83" s="34"/>
      <c r="DI83" s="31"/>
      <c r="DJ83" s="32"/>
      <c r="DK83" s="33"/>
      <c r="DL83" s="33"/>
      <c r="DM83" s="34"/>
      <c r="DN83" s="34"/>
      <c r="DO83" s="34"/>
      <c r="DP83" s="34"/>
      <c r="DQ83" s="31"/>
      <c r="DR83" s="32"/>
      <c r="DS83" s="33"/>
      <c r="DT83" s="33"/>
      <c r="DU83" s="34"/>
      <c r="DV83" s="34"/>
      <c r="DW83" s="34"/>
      <c r="DX83" s="34"/>
      <c r="DY83" s="31"/>
      <c r="DZ83" s="32"/>
      <c r="EA83" s="33"/>
      <c r="EB83" s="33"/>
      <c r="EC83" s="34"/>
      <c r="ED83" s="34"/>
      <c r="EE83" s="34"/>
      <c r="EF83" s="34"/>
      <c r="EG83" s="31"/>
      <c r="EH83" s="32"/>
      <c r="EI83" s="33"/>
      <c r="EJ83" s="33"/>
      <c r="EK83" s="34"/>
      <c r="EL83" s="34"/>
      <c r="EM83" s="34"/>
      <c r="EN83" s="34"/>
      <c r="EO83" s="31"/>
      <c r="EP83" s="32"/>
      <c r="EQ83" s="33"/>
      <c r="ER83" s="33"/>
      <c r="ES83" s="34"/>
      <c r="ET83" s="34"/>
      <c r="EU83" s="34"/>
      <c r="EV83" s="34"/>
      <c r="EW83" s="31"/>
      <c r="EX83" s="32"/>
      <c r="EY83" s="33"/>
      <c r="EZ83" s="33"/>
      <c r="FA83" s="34"/>
      <c r="FB83" s="34"/>
      <c r="FC83" s="34"/>
      <c r="FD83" s="34"/>
      <c r="FE83" s="31"/>
      <c r="FF83" s="32"/>
      <c r="FG83" s="33"/>
      <c r="FH83" s="33"/>
      <c r="FI83" s="34"/>
      <c r="FJ83" s="34"/>
      <c r="FK83" s="34"/>
      <c r="FL83" s="34"/>
      <c r="FM83" s="31"/>
      <c r="FN83" s="32"/>
      <c r="FO83" s="33"/>
      <c r="FP83" s="33"/>
      <c r="FQ83" s="34"/>
      <c r="FR83" s="34"/>
      <c r="FS83" s="34"/>
      <c r="FT83" s="34"/>
      <c r="FU83" s="31"/>
      <c r="FV83" s="32"/>
      <c r="FW83" s="33"/>
      <c r="FX83" s="33"/>
      <c r="FY83" s="34"/>
      <c r="FZ83" s="34"/>
      <c r="GA83" s="34"/>
      <c r="GB83" s="34"/>
      <c r="GC83" s="31"/>
      <c r="GD83" s="32"/>
      <c r="GE83" s="33"/>
      <c r="GF83" s="33"/>
      <c r="GG83" s="34"/>
      <c r="GH83" s="34"/>
      <c r="GI83" s="34"/>
      <c r="GJ83" s="34"/>
      <c r="GK83" s="31"/>
      <c r="GL83" s="32"/>
      <c r="GM83" s="33"/>
      <c r="GN83" s="33"/>
      <c r="GO83" s="34"/>
      <c r="GP83" s="34"/>
      <c r="GQ83" s="34"/>
      <c r="GR83" s="34"/>
      <c r="GS83" s="31"/>
      <c r="GT83" s="32"/>
      <c r="GU83" s="33"/>
      <c r="GV83" s="33"/>
      <c r="GW83" s="34"/>
      <c r="GX83" s="34"/>
      <c r="GY83" s="34"/>
      <c r="GZ83" s="34"/>
      <c r="HA83" s="31"/>
      <c r="HB83" s="32"/>
      <c r="HC83" s="33"/>
      <c r="HD83" s="33"/>
      <c r="HE83" s="34"/>
      <c r="HF83" s="34"/>
      <c r="HG83" s="34"/>
      <c r="HH83" s="34"/>
      <c r="HI83" s="31"/>
      <c r="HJ83" s="32"/>
      <c r="HK83" s="33"/>
      <c r="HL83" s="33"/>
      <c r="HM83" s="34"/>
      <c r="HN83" s="34"/>
      <c r="HO83" s="34"/>
      <c r="HP83" s="34"/>
      <c r="HQ83" s="31"/>
      <c r="HR83" s="32"/>
      <c r="HS83" s="33"/>
      <c r="HT83" s="33"/>
      <c r="HU83" s="34"/>
      <c r="HV83" s="34"/>
      <c r="HW83" s="34"/>
      <c r="HX83" s="34"/>
      <c r="HY83" s="31"/>
      <c r="HZ83" s="32"/>
      <c r="IA83" s="33"/>
      <c r="IB83" s="33"/>
      <c r="IC83" s="34"/>
      <c r="ID83" s="34"/>
      <c r="IE83" s="34"/>
      <c r="IF83" s="34"/>
      <c r="IG83" s="31"/>
      <c r="IH83" s="32"/>
      <c r="II83" s="33"/>
      <c r="IJ83" s="33"/>
      <c r="IK83" s="34"/>
      <c r="IL83" s="34"/>
      <c r="IM83" s="34"/>
      <c r="IN83" s="34"/>
      <c r="IO83" s="31"/>
      <c r="IP83" s="32"/>
      <c r="IQ83" s="33"/>
      <c r="IR83" s="33"/>
      <c r="IS83" s="34"/>
      <c r="IT83" s="34"/>
      <c r="IU83" s="34"/>
      <c r="IV83" s="34"/>
    </row>
    <row r="84" spans="1:256" s="35" customFormat="1" ht="15.75" customHeight="1">
      <c r="A84" s="22"/>
      <c r="B84" s="61" t="s">
        <v>231</v>
      </c>
      <c r="C84" s="26"/>
      <c r="D84" s="26"/>
      <c r="E84" s="25"/>
      <c r="F84" s="25"/>
      <c r="G84" s="110">
        <v>0</v>
      </c>
      <c r="H84" s="53">
        <v>0</v>
      </c>
      <c r="I84" s="22"/>
      <c r="J84" s="32"/>
      <c r="K84" s="33"/>
      <c r="L84" s="33"/>
      <c r="M84" s="34"/>
      <c r="N84" s="34"/>
      <c r="O84" s="34"/>
      <c r="P84" s="34"/>
      <c r="Q84" s="31"/>
      <c r="R84" s="32"/>
      <c r="S84" s="33"/>
      <c r="T84" s="33"/>
      <c r="U84" s="34"/>
      <c r="V84" s="34"/>
      <c r="W84" s="34"/>
      <c r="X84" s="34"/>
      <c r="Y84" s="31"/>
      <c r="Z84" s="32"/>
      <c r="AA84" s="33"/>
      <c r="AB84" s="33"/>
      <c r="AC84" s="34"/>
      <c r="AD84" s="34"/>
      <c r="AE84" s="34"/>
      <c r="AF84" s="34"/>
      <c r="AG84" s="31"/>
      <c r="AH84" s="32"/>
      <c r="AI84" s="33"/>
      <c r="AJ84" s="33"/>
      <c r="AK84" s="34"/>
      <c r="AL84" s="34"/>
      <c r="AM84" s="34"/>
      <c r="AN84" s="34"/>
      <c r="AO84" s="31"/>
      <c r="AP84" s="32"/>
      <c r="AQ84" s="33"/>
      <c r="AR84" s="33"/>
      <c r="AS84" s="34"/>
      <c r="AT84" s="34"/>
      <c r="AU84" s="34"/>
      <c r="AV84" s="34"/>
      <c r="AW84" s="31"/>
      <c r="AX84" s="32"/>
      <c r="AY84" s="33"/>
      <c r="AZ84" s="33"/>
      <c r="BA84" s="34"/>
      <c r="BB84" s="34"/>
      <c r="BC84" s="34"/>
      <c r="BD84" s="34"/>
      <c r="BE84" s="31"/>
      <c r="BF84" s="32"/>
      <c r="BG84" s="33"/>
      <c r="BH84" s="33"/>
      <c r="BI84" s="34"/>
      <c r="BJ84" s="34"/>
      <c r="BK84" s="34"/>
      <c r="BL84" s="34"/>
      <c r="BM84" s="31"/>
      <c r="BN84" s="32"/>
      <c r="BO84" s="33"/>
      <c r="BP84" s="33"/>
      <c r="BQ84" s="34"/>
      <c r="BR84" s="34"/>
      <c r="BS84" s="34"/>
      <c r="BT84" s="34"/>
      <c r="BU84" s="31"/>
      <c r="BV84" s="32"/>
      <c r="BW84" s="33"/>
      <c r="BX84" s="33"/>
      <c r="BY84" s="34"/>
      <c r="BZ84" s="34"/>
      <c r="CA84" s="34"/>
      <c r="CB84" s="34"/>
      <c r="CC84" s="31"/>
      <c r="CD84" s="32"/>
      <c r="CE84" s="33"/>
      <c r="CF84" s="33"/>
      <c r="CG84" s="34"/>
      <c r="CH84" s="34"/>
      <c r="CI84" s="34"/>
      <c r="CJ84" s="34"/>
      <c r="CK84" s="31"/>
      <c r="CL84" s="32"/>
      <c r="CM84" s="33"/>
      <c r="CN84" s="33"/>
      <c r="CO84" s="34"/>
      <c r="CP84" s="34"/>
      <c r="CQ84" s="34"/>
      <c r="CR84" s="34"/>
      <c r="CS84" s="31"/>
      <c r="CT84" s="32"/>
      <c r="CU84" s="33"/>
      <c r="CV84" s="33"/>
      <c r="CW84" s="34"/>
      <c r="CX84" s="34"/>
      <c r="CY84" s="34"/>
      <c r="CZ84" s="34"/>
      <c r="DA84" s="31"/>
      <c r="DB84" s="32"/>
      <c r="DC84" s="33"/>
      <c r="DD84" s="33"/>
      <c r="DE84" s="34"/>
      <c r="DF84" s="34"/>
      <c r="DG84" s="34"/>
      <c r="DH84" s="34"/>
      <c r="DI84" s="31"/>
      <c r="DJ84" s="32"/>
      <c r="DK84" s="33"/>
      <c r="DL84" s="33"/>
      <c r="DM84" s="34"/>
      <c r="DN84" s="34"/>
      <c r="DO84" s="34"/>
      <c r="DP84" s="34"/>
      <c r="DQ84" s="31"/>
      <c r="DR84" s="32"/>
      <c r="DS84" s="33"/>
      <c r="DT84" s="33"/>
      <c r="DU84" s="34"/>
      <c r="DV84" s="34"/>
      <c r="DW84" s="34"/>
      <c r="DX84" s="34"/>
      <c r="DY84" s="31"/>
      <c r="DZ84" s="32"/>
      <c r="EA84" s="33"/>
      <c r="EB84" s="33"/>
      <c r="EC84" s="34"/>
      <c r="ED84" s="34"/>
      <c r="EE84" s="34"/>
      <c r="EF84" s="34"/>
      <c r="EG84" s="31"/>
      <c r="EH84" s="32"/>
      <c r="EI84" s="33"/>
      <c r="EJ84" s="33"/>
      <c r="EK84" s="34"/>
      <c r="EL84" s="34"/>
      <c r="EM84" s="34"/>
      <c r="EN84" s="34"/>
      <c r="EO84" s="31"/>
      <c r="EP84" s="32"/>
      <c r="EQ84" s="33"/>
      <c r="ER84" s="33"/>
      <c r="ES84" s="34"/>
      <c r="ET84" s="34"/>
      <c r="EU84" s="34"/>
      <c r="EV84" s="34"/>
      <c r="EW84" s="31"/>
      <c r="EX84" s="32"/>
      <c r="EY84" s="33"/>
      <c r="EZ84" s="33"/>
      <c r="FA84" s="34"/>
      <c r="FB84" s="34"/>
      <c r="FC84" s="34"/>
      <c r="FD84" s="34"/>
      <c r="FE84" s="31"/>
      <c r="FF84" s="32"/>
      <c r="FG84" s="33"/>
      <c r="FH84" s="33"/>
      <c r="FI84" s="34"/>
      <c r="FJ84" s="34"/>
      <c r="FK84" s="34"/>
      <c r="FL84" s="34"/>
      <c r="FM84" s="31"/>
      <c r="FN84" s="32"/>
      <c r="FO84" s="33"/>
      <c r="FP84" s="33"/>
      <c r="FQ84" s="34"/>
      <c r="FR84" s="34"/>
      <c r="FS84" s="34"/>
      <c r="FT84" s="34"/>
      <c r="FU84" s="31"/>
      <c r="FV84" s="32"/>
      <c r="FW84" s="33"/>
      <c r="FX84" s="33"/>
      <c r="FY84" s="34"/>
      <c r="FZ84" s="34"/>
      <c r="GA84" s="34"/>
      <c r="GB84" s="34"/>
      <c r="GC84" s="31"/>
      <c r="GD84" s="32"/>
      <c r="GE84" s="33"/>
      <c r="GF84" s="33"/>
      <c r="GG84" s="34"/>
      <c r="GH84" s="34"/>
      <c r="GI84" s="34"/>
      <c r="GJ84" s="34"/>
      <c r="GK84" s="31"/>
      <c r="GL84" s="32"/>
      <c r="GM84" s="33"/>
      <c r="GN84" s="33"/>
      <c r="GO84" s="34"/>
      <c r="GP84" s="34"/>
      <c r="GQ84" s="34"/>
      <c r="GR84" s="34"/>
      <c r="GS84" s="31"/>
      <c r="GT84" s="32"/>
      <c r="GU84" s="33"/>
      <c r="GV84" s="33"/>
      <c r="GW84" s="34"/>
      <c r="GX84" s="34"/>
      <c r="GY84" s="34"/>
      <c r="GZ84" s="34"/>
      <c r="HA84" s="31"/>
      <c r="HB84" s="32"/>
      <c r="HC84" s="33"/>
      <c r="HD84" s="33"/>
      <c r="HE84" s="34"/>
      <c r="HF84" s="34"/>
      <c r="HG84" s="34"/>
      <c r="HH84" s="34"/>
      <c r="HI84" s="31"/>
      <c r="HJ84" s="32"/>
      <c r="HK84" s="33"/>
      <c r="HL84" s="33"/>
      <c r="HM84" s="34"/>
      <c r="HN84" s="34"/>
      <c r="HO84" s="34"/>
      <c r="HP84" s="34"/>
      <c r="HQ84" s="31"/>
      <c r="HR84" s="32"/>
      <c r="HS84" s="33"/>
      <c r="HT84" s="33"/>
      <c r="HU84" s="34"/>
      <c r="HV84" s="34"/>
      <c r="HW84" s="34"/>
      <c r="HX84" s="34"/>
      <c r="HY84" s="31"/>
      <c r="HZ84" s="32"/>
      <c r="IA84" s="33"/>
      <c r="IB84" s="33"/>
      <c r="IC84" s="34"/>
      <c r="ID84" s="34"/>
      <c r="IE84" s="34"/>
      <c r="IF84" s="34"/>
      <c r="IG84" s="31"/>
      <c r="IH84" s="32"/>
      <c r="II84" s="33"/>
      <c r="IJ84" s="33"/>
      <c r="IK84" s="34"/>
      <c r="IL84" s="34"/>
      <c r="IM84" s="34"/>
      <c r="IN84" s="34"/>
      <c r="IO84" s="31"/>
      <c r="IP84" s="32"/>
      <c r="IQ84" s="33"/>
      <c r="IR84" s="33"/>
      <c r="IS84" s="34"/>
      <c r="IT84" s="34"/>
      <c r="IU84" s="34"/>
      <c r="IV84" s="34"/>
    </row>
    <row r="85" spans="1:256" s="35" customFormat="1" ht="27" customHeight="1">
      <c r="A85" s="22"/>
      <c r="B85" s="78" t="s">
        <v>269</v>
      </c>
      <c r="C85" s="42" t="s">
        <v>53</v>
      </c>
      <c r="D85" s="42">
        <f>105.5+135.23</f>
        <v>240.73</v>
      </c>
      <c r="E85" s="69"/>
      <c r="F85" s="69"/>
      <c r="G85" s="110">
        <v>0</v>
      </c>
      <c r="H85" s="53">
        <v>0</v>
      </c>
      <c r="I85" s="90" t="s">
        <v>356</v>
      </c>
      <c r="J85" s="39"/>
      <c r="K85" s="33"/>
      <c r="L85" s="33"/>
      <c r="M85" s="34"/>
      <c r="N85" s="34"/>
      <c r="O85" s="34"/>
      <c r="P85" s="34"/>
      <c r="Q85" s="31"/>
      <c r="R85" s="32"/>
      <c r="S85" s="33"/>
      <c r="T85" s="33"/>
      <c r="U85" s="34"/>
      <c r="V85" s="34"/>
      <c r="W85" s="34"/>
      <c r="X85" s="34"/>
      <c r="Y85" s="31"/>
      <c r="Z85" s="32"/>
      <c r="AA85" s="33"/>
      <c r="AB85" s="33"/>
      <c r="AC85" s="34"/>
      <c r="AD85" s="34"/>
      <c r="AE85" s="34"/>
      <c r="AF85" s="34"/>
      <c r="AG85" s="31"/>
      <c r="AH85" s="32"/>
      <c r="AI85" s="33"/>
      <c r="AJ85" s="33"/>
      <c r="AK85" s="34"/>
      <c r="AL85" s="34"/>
      <c r="AM85" s="34"/>
      <c r="AN85" s="34"/>
      <c r="AO85" s="31"/>
      <c r="AP85" s="32"/>
      <c r="AQ85" s="33"/>
      <c r="AR85" s="33"/>
      <c r="AS85" s="34"/>
      <c r="AT85" s="34"/>
      <c r="AU85" s="34"/>
      <c r="AV85" s="34"/>
      <c r="AW85" s="31"/>
      <c r="AX85" s="32"/>
      <c r="AY85" s="33"/>
      <c r="AZ85" s="33"/>
      <c r="BA85" s="34"/>
      <c r="BB85" s="34"/>
      <c r="BC85" s="34"/>
      <c r="BD85" s="34"/>
      <c r="BE85" s="31"/>
      <c r="BF85" s="32"/>
      <c r="BG85" s="33"/>
      <c r="BH85" s="33"/>
      <c r="BI85" s="34"/>
      <c r="BJ85" s="34"/>
      <c r="BK85" s="34"/>
      <c r="BL85" s="34"/>
      <c r="BM85" s="31"/>
      <c r="BN85" s="32"/>
      <c r="BO85" s="33"/>
      <c r="BP85" s="33"/>
      <c r="BQ85" s="34"/>
      <c r="BR85" s="34"/>
      <c r="BS85" s="34"/>
      <c r="BT85" s="34"/>
      <c r="BU85" s="31"/>
      <c r="BV85" s="32"/>
      <c r="BW85" s="33"/>
      <c r="BX85" s="33"/>
      <c r="BY85" s="34"/>
      <c r="BZ85" s="34"/>
      <c r="CA85" s="34"/>
      <c r="CB85" s="34"/>
      <c r="CC85" s="31"/>
      <c r="CD85" s="32"/>
      <c r="CE85" s="33"/>
      <c r="CF85" s="33"/>
      <c r="CG85" s="34"/>
      <c r="CH85" s="34"/>
      <c r="CI85" s="34"/>
      <c r="CJ85" s="34"/>
      <c r="CK85" s="31"/>
      <c r="CL85" s="32"/>
      <c r="CM85" s="33"/>
      <c r="CN85" s="33"/>
      <c r="CO85" s="34"/>
      <c r="CP85" s="34"/>
      <c r="CQ85" s="34"/>
      <c r="CR85" s="34"/>
      <c r="CS85" s="31"/>
      <c r="CT85" s="32"/>
      <c r="CU85" s="33"/>
      <c r="CV85" s="33"/>
      <c r="CW85" s="34"/>
      <c r="CX85" s="34"/>
      <c r="CY85" s="34"/>
      <c r="CZ85" s="34"/>
      <c r="DA85" s="31"/>
      <c r="DB85" s="32"/>
      <c r="DC85" s="33"/>
      <c r="DD85" s="33"/>
      <c r="DE85" s="34"/>
      <c r="DF85" s="34"/>
      <c r="DG85" s="34"/>
      <c r="DH85" s="34"/>
      <c r="DI85" s="31"/>
      <c r="DJ85" s="32"/>
      <c r="DK85" s="33"/>
      <c r="DL85" s="33"/>
      <c r="DM85" s="34"/>
      <c r="DN85" s="34"/>
      <c r="DO85" s="34"/>
      <c r="DP85" s="34"/>
      <c r="DQ85" s="31"/>
      <c r="DR85" s="32"/>
      <c r="DS85" s="33"/>
      <c r="DT85" s="33"/>
      <c r="DU85" s="34"/>
      <c r="DV85" s="34"/>
      <c r="DW85" s="34"/>
      <c r="DX85" s="34"/>
      <c r="DY85" s="31"/>
      <c r="DZ85" s="32"/>
      <c r="EA85" s="33"/>
      <c r="EB85" s="33"/>
      <c r="EC85" s="34"/>
      <c r="ED85" s="34"/>
      <c r="EE85" s="34"/>
      <c r="EF85" s="34"/>
      <c r="EG85" s="31"/>
      <c r="EH85" s="32"/>
      <c r="EI85" s="33"/>
      <c r="EJ85" s="33"/>
      <c r="EK85" s="34"/>
      <c r="EL85" s="34"/>
      <c r="EM85" s="34"/>
      <c r="EN85" s="34"/>
      <c r="EO85" s="31"/>
      <c r="EP85" s="32"/>
      <c r="EQ85" s="33"/>
      <c r="ER85" s="33"/>
      <c r="ES85" s="34"/>
      <c r="ET85" s="34"/>
      <c r="EU85" s="34"/>
      <c r="EV85" s="34"/>
      <c r="EW85" s="31"/>
      <c r="EX85" s="32"/>
      <c r="EY85" s="33"/>
      <c r="EZ85" s="33"/>
      <c r="FA85" s="34"/>
      <c r="FB85" s="34"/>
      <c r="FC85" s="34"/>
      <c r="FD85" s="34"/>
      <c r="FE85" s="31"/>
      <c r="FF85" s="32"/>
      <c r="FG85" s="33"/>
      <c r="FH85" s="33"/>
      <c r="FI85" s="34"/>
      <c r="FJ85" s="34"/>
      <c r="FK85" s="34"/>
      <c r="FL85" s="34"/>
      <c r="FM85" s="31"/>
      <c r="FN85" s="32"/>
      <c r="FO85" s="33"/>
      <c r="FP85" s="33"/>
      <c r="FQ85" s="34"/>
      <c r="FR85" s="34"/>
      <c r="FS85" s="34"/>
      <c r="FT85" s="34"/>
      <c r="FU85" s="31"/>
      <c r="FV85" s="32"/>
      <c r="FW85" s="33"/>
      <c r="FX85" s="33"/>
      <c r="FY85" s="34"/>
      <c r="FZ85" s="34"/>
      <c r="GA85" s="34"/>
      <c r="GB85" s="34"/>
      <c r="GC85" s="31"/>
      <c r="GD85" s="32"/>
      <c r="GE85" s="33"/>
      <c r="GF85" s="33"/>
      <c r="GG85" s="34"/>
      <c r="GH85" s="34"/>
      <c r="GI85" s="34"/>
      <c r="GJ85" s="34"/>
      <c r="GK85" s="31"/>
      <c r="GL85" s="32"/>
      <c r="GM85" s="33"/>
      <c r="GN85" s="33"/>
      <c r="GO85" s="34"/>
      <c r="GP85" s="34"/>
      <c r="GQ85" s="34"/>
      <c r="GR85" s="34"/>
      <c r="GS85" s="31"/>
      <c r="GT85" s="32"/>
      <c r="GU85" s="33"/>
      <c r="GV85" s="33"/>
      <c r="GW85" s="34"/>
      <c r="GX85" s="34"/>
      <c r="GY85" s="34"/>
      <c r="GZ85" s="34"/>
      <c r="HA85" s="31"/>
      <c r="HB85" s="32"/>
      <c r="HC85" s="33"/>
      <c r="HD85" s="33"/>
      <c r="HE85" s="34"/>
      <c r="HF85" s="34"/>
      <c r="HG85" s="34"/>
      <c r="HH85" s="34"/>
      <c r="HI85" s="31"/>
      <c r="HJ85" s="32"/>
      <c r="HK85" s="33"/>
      <c r="HL85" s="33"/>
      <c r="HM85" s="34"/>
      <c r="HN85" s="34"/>
      <c r="HO85" s="34"/>
      <c r="HP85" s="34"/>
      <c r="HQ85" s="31"/>
      <c r="HR85" s="32"/>
      <c r="HS85" s="33"/>
      <c r="HT85" s="33"/>
      <c r="HU85" s="34"/>
      <c r="HV85" s="34"/>
      <c r="HW85" s="34"/>
      <c r="HX85" s="34"/>
      <c r="HY85" s="31"/>
      <c r="HZ85" s="32"/>
      <c r="IA85" s="33"/>
      <c r="IB85" s="33"/>
      <c r="IC85" s="34"/>
      <c r="ID85" s="34"/>
      <c r="IE85" s="34"/>
      <c r="IF85" s="34"/>
      <c r="IG85" s="31"/>
      <c r="IH85" s="32"/>
      <c r="II85" s="33"/>
      <c r="IJ85" s="33"/>
      <c r="IK85" s="34"/>
      <c r="IL85" s="34"/>
      <c r="IM85" s="34"/>
      <c r="IN85" s="34"/>
      <c r="IO85" s="31"/>
      <c r="IP85" s="32"/>
      <c r="IQ85" s="33"/>
      <c r="IR85" s="33"/>
      <c r="IS85" s="34"/>
      <c r="IT85" s="34"/>
      <c r="IU85" s="34"/>
      <c r="IV85" s="34"/>
    </row>
    <row r="86" spans="1:256" s="35" customFormat="1" ht="24.75" customHeight="1">
      <c r="A86" s="22"/>
      <c r="B86" s="91" t="s">
        <v>220</v>
      </c>
      <c r="C86" s="42"/>
      <c r="D86" s="56"/>
      <c r="E86" s="18"/>
      <c r="F86" s="18"/>
      <c r="G86" s="92">
        <f>26038.0654+104.328</f>
        <v>26142.3934</v>
      </c>
      <c r="H86" s="133">
        <f>H69</f>
        <v>542233.0333936068</v>
      </c>
      <c r="I86" s="59"/>
      <c r="J86" s="65"/>
      <c r="K86" s="33"/>
      <c r="L86" s="33"/>
      <c r="M86" s="34"/>
      <c r="N86" s="34"/>
      <c r="O86" s="34"/>
      <c r="P86" s="34"/>
      <c r="Q86" s="31"/>
      <c r="S86" s="33"/>
      <c r="T86" s="33"/>
      <c r="U86" s="34"/>
      <c r="V86" s="34"/>
      <c r="W86" s="34"/>
      <c r="X86" s="34"/>
      <c r="Y86" s="31"/>
      <c r="AA86" s="33"/>
      <c r="AB86" s="33"/>
      <c r="AC86" s="34"/>
      <c r="AD86" s="34"/>
      <c r="AE86" s="34"/>
      <c r="AF86" s="34"/>
      <c r="AG86" s="31"/>
      <c r="AI86" s="33"/>
      <c r="AJ86" s="33"/>
      <c r="AK86" s="34"/>
      <c r="AL86" s="34"/>
      <c r="AM86" s="34"/>
      <c r="AN86" s="34"/>
      <c r="AO86" s="31"/>
      <c r="AQ86" s="33"/>
      <c r="AR86" s="33"/>
      <c r="AS86" s="34"/>
      <c r="AT86" s="34"/>
      <c r="AU86" s="34"/>
      <c r="AV86" s="34"/>
      <c r="AW86" s="31"/>
      <c r="AY86" s="33"/>
      <c r="AZ86" s="33"/>
      <c r="BA86" s="34"/>
      <c r="BB86" s="34"/>
      <c r="BC86" s="34"/>
      <c r="BD86" s="34"/>
      <c r="BE86" s="31"/>
      <c r="BG86" s="33"/>
      <c r="BH86" s="33"/>
      <c r="BI86" s="34"/>
      <c r="BJ86" s="34"/>
      <c r="BK86" s="34"/>
      <c r="BL86" s="34"/>
      <c r="BM86" s="31"/>
      <c r="BO86" s="33"/>
      <c r="BP86" s="33"/>
      <c r="BQ86" s="34"/>
      <c r="BR86" s="34"/>
      <c r="BS86" s="34"/>
      <c r="BT86" s="34"/>
      <c r="BU86" s="31"/>
      <c r="BW86" s="33"/>
      <c r="BX86" s="33"/>
      <c r="BY86" s="34"/>
      <c r="BZ86" s="34"/>
      <c r="CA86" s="34"/>
      <c r="CB86" s="34"/>
      <c r="CC86" s="31"/>
      <c r="CE86" s="33"/>
      <c r="CF86" s="33"/>
      <c r="CG86" s="34"/>
      <c r="CH86" s="34"/>
      <c r="CI86" s="34"/>
      <c r="CJ86" s="34"/>
      <c r="CK86" s="31"/>
      <c r="CM86" s="33"/>
      <c r="CN86" s="33"/>
      <c r="CO86" s="34"/>
      <c r="CP86" s="34"/>
      <c r="CQ86" s="34"/>
      <c r="CR86" s="34"/>
      <c r="CS86" s="31"/>
      <c r="CU86" s="33"/>
      <c r="CV86" s="33"/>
      <c r="CW86" s="34"/>
      <c r="CX86" s="34"/>
      <c r="CY86" s="34"/>
      <c r="CZ86" s="34"/>
      <c r="DA86" s="31"/>
      <c r="DC86" s="33"/>
      <c r="DD86" s="33"/>
      <c r="DE86" s="34"/>
      <c r="DF86" s="34"/>
      <c r="DG86" s="34"/>
      <c r="DH86" s="34"/>
      <c r="DI86" s="31"/>
      <c r="DK86" s="33"/>
      <c r="DL86" s="33"/>
      <c r="DM86" s="34"/>
      <c r="DN86" s="34"/>
      <c r="DO86" s="34"/>
      <c r="DP86" s="34"/>
      <c r="DQ86" s="31"/>
      <c r="DS86" s="33"/>
      <c r="DT86" s="33"/>
      <c r="DU86" s="34"/>
      <c r="DV86" s="34"/>
      <c r="DW86" s="34"/>
      <c r="DX86" s="34"/>
      <c r="DY86" s="31"/>
      <c r="EA86" s="33"/>
      <c r="EB86" s="33"/>
      <c r="EC86" s="34"/>
      <c r="ED86" s="34"/>
      <c r="EE86" s="34"/>
      <c r="EF86" s="34"/>
      <c r="EG86" s="31"/>
      <c r="EI86" s="33"/>
      <c r="EJ86" s="33"/>
      <c r="EK86" s="34"/>
      <c r="EL86" s="34"/>
      <c r="EM86" s="34"/>
      <c r="EN86" s="34"/>
      <c r="EO86" s="31"/>
      <c r="EQ86" s="33"/>
      <c r="ER86" s="33"/>
      <c r="ES86" s="34"/>
      <c r="ET86" s="34"/>
      <c r="EU86" s="34"/>
      <c r="EV86" s="34"/>
      <c r="EW86" s="31"/>
      <c r="EY86" s="33"/>
      <c r="EZ86" s="33"/>
      <c r="FA86" s="34"/>
      <c r="FB86" s="34"/>
      <c r="FC86" s="34"/>
      <c r="FD86" s="34"/>
      <c r="FE86" s="31"/>
      <c r="FG86" s="33"/>
      <c r="FH86" s="33"/>
      <c r="FI86" s="34"/>
      <c r="FJ86" s="34"/>
      <c r="FK86" s="34"/>
      <c r="FL86" s="34"/>
      <c r="FM86" s="31"/>
      <c r="FO86" s="33"/>
      <c r="FP86" s="33"/>
      <c r="FQ86" s="34"/>
      <c r="FR86" s="34"/>
      <c r="FS86" s="34"/>
      <c r="FT86" s="34"/>
      <c r="FU86" s="31"/>
      <c r="FW86" s="33"/>
      <c r="FX86" s="33"/>
      <c r="FY86" s="34"/>
      <c r="FZ86" s="34"/>
      <c r="GA86" s="34"/>
      <c r="GB86" s="34"/>
      <c r="GC86" s="31"/>
      <c r="GE86" s="33"/>
      <c r="GF86" s="33"/>
      <c r="GG86" s="34"/>
      <c r="GH86" s="34"/>
      <c r="GI86" s="34"/>
      <c r="GJ86" s="34"/>
      <c r="GK86" s="31"/>
      <c r="GM86" s="33"/>
      <c r="GN86" s="33"/>
      <c r="GO86" s="34"/>
      <c r="GP86" s="34"/>
      <c r="GQ86" s="34"/>
      <c r="GR86" s="34"/>
      <c r="GS86" s="31"/>
      <c r="GU86" s="33"/>
      <c r="GV86" s="33"/>
      <c r="GW86" s="34"/>
      <c r="GX86" s="34"/>
      <c r="GY86" s="34"/>
      <c r="GZ86" s="34"/>
      <c r="HA86" s="31"/>
      <c r="HC86" s="33"/>
      <c r="HD86" s="33"/>
      <c r="HE86" s="34"/>
      <c r="HF86" s="34"/>
      <c r="HG86" s="34"/>
      <c r="HH86" s="34"/>
      <c r="HI86" s="31"/>
      <c r="HK86" s="33"/>
      <c r="HL86" s="33"/>
      <c r="HM86" s="34"/>
      <c r="HN86" s="34"/>
      <c r="HO86" s="34"/>
      <c r="HP86" s="34"/>
      <c r="HQ86" s="31"/>
      <c r="HS86" s="33"/>
      <c r="HT86" s="33"/>
      <c r="HU86" s="34"/>
      <c r="HV86" s="34"/>
      <c r="HW86" s="34"/>
      <c r="HX86" s="34"/>
      <c r="HY86" s="31"/>
      <c r="IA86" s="33"/>
      <c r="IB86" s="33"/>
      <c r="IC86" s="34"/>
      <c r="ID86" s="34"/>
      <c r="IE86" s="34"/>
      <c r="IF86" s="34"/>
      <c r="IG86" s="31"/>
      <c r="II86" s="33"/>
      <c r="IJ86" s="33"/>
      <c r="IK86" s="34"/>
      <c r="IL86" s="34"/>
      <c r="IM86" s="34"/>
      <c r="IN86" s="34"/>
      <c r="IO86" s="31"/>
      <c r="IQ86" s="33"/>
      <c r="IR86" s="33"/>
      <c r="IS86" s="34"/>
      <c r="IT86" s="34"/>
      <c r="IU86" s="34"/>
      <c r="IV86" s="34"/>
    </row>
    <row r="87" spans="1:9" ht="31.5" customHeight="1">
      <c r="A87" s="411" t="s">
        <v>68</v>
      </c>
      <c r="B87" s="412"/>
      <c r="C87" s="412"/>
      <c r="D87" s="412"/>
      <c r="E87" s="412"/>
      <c r="F87" s="412"/>
      <c r="G87" s="412"/>
      <c r="H87" s="20"/>
      <c r="I87" s="23"/>
    </row>
    <row r="88" spans="1:9" ht="12.75">
      <c r="A88" s="22">
        <v>1</v>
      </c>
      <c r="B88" s="43"/>
      <c r="C88" s="25" t="s">
        <v>238</v>
      </c>
      <c r="D88" s="25" t="s">
        <v>122</v>
      </c>
      <c r="E88" s="24" t="s">
        <v>122</v>
      </c>
      <c r="F88" s="24" t="s">
        <v>122</v>
      </c>
      <c r="G88" s="24" t="s">
        <v>122</v>
      </c>
      <c r="H88" s="118" t="s">
        <v>239</v>
      </c>
      <c r="I88" s="23"/>
    </row>
    <row r="89" spans="1:9" ht="12.75">
      <c r="A89" s="22"/>
      <c r="B89" s="43"/>
      <c r="C89" s="25"/>
      <c r="D89" s="25"/>
      <c r="E89" s="25"/>
      <c r="F89" s="25"/>
      <c r="G89" s="25"/>
      <c r="H89" s="119"/>
      <c r="I89" s="23"/>
    </row>
    <row r="90" spans="1:9" ht="19.5" customHeight="1">
      <c r="A90" s="403" t="s">
        <v>19</v>
      </c>
      <c r="B90" s="404"/>
      <c r="C90" s="404"/>
      <c r="D90" s="404"/>
      <c r="E90" s="404"/>
      <c r="F90" s="404"/>
      <c r="G90" s="404"/>
      <c r="H90" s="404"/>
      <c r="I90" s="23"/>
    </row>
    <row r="91" spans="1:9" ht="15.75" customHeight="1">
      <c r="A91" s="403" t="s">
        <v>20</v>
      </c>
      <c r="B91" s="404"/>
      <c r="C91" s="404"/>
      <c r="D91" s="404"/>
      <c r="E91" s="404"/>
      <c r="F91" s="404"/>
      <c r="G91" s="404"/>
      <c r="H91" s="404"/>
      <c r="I91" s="23"/>
    </row>
    <row r="92" spans="1:9" ht="12.75">
      <c r="A92" s="26">
        <v>1</v>
      </c>
      <c r="B92" s="30" t="s">
        <v>297</v>
      </c>
      <c r="C92" s="23"/>
      <c r="D92" s="23"/>
      <c r="E92" s="25"/>
      <c r="F92" s="25"/>
      <c r="G92" s="25"/>
      <c r="H92" s="53"/>
      <c r="I92" s="23"/>
    </row>
    <row r="93" spans="1:9" ht="14.25">
      <c r="A93" s="23"/>
      <c r="B93" s="44" t="s">
        <v>82</v>
      </c>
      <c r="C93" s="26" t="s">
        <v>61</v>
      </c>
      <c r="D93" s="26">
        <v>118</v>
      </c>
      <c r="E93" s="135">
        <v>1</v>
      </c>
      <c r="F93" s="105">
        <v>1</v>
      </c>
      <c r="G93" s="25">
        <f>D93*E93*F93</f>
        <v>118</v>
      </c>
      <c r="H93" s="116">
        <f>699617/49177.3391*G93</f>
        <v>1678.7164070046238</v>
      </c>
      <c r="I93" s="23"/>
    </row>
    <row r="94" spans="1:9" ht="14.25">
      <c r="A94" s="23"/>
      <c r="B94" s="44" t="s">
        <v>83</v>
      </c>
      <c r="C94" s="26" t="s">
        <v>80</v>
      </c>
      <c r="D94" s="26">
        <v>236</v>
      </c>
      <c r="E94" s="135">
        <v>3</v>
      </c>
      <c r="F94" s="105">
        <v>0.042</v>
      </c>
      <c r="G94" s="25">
        <f aca="true" t="shared" si="3" ref="G94:G103">D94*E94*F94</f>
        <v>29.736</v>
      </c>
      <c r="H94" s="116">
        <f aca="true" t="shared" si="4" ref="H94:H142">699617/49177.3391*G94</f>
        <v>423.0365345651652</v>
      </c>
      <c r="I94" s="23"/>
    </row>
    <row r="95" spans="1:9" ht="12.75">
      <c r="A95" s="23"/>
      <c r="B95" s="44" t="s">
        <v>291</v>
      </c>
      <c r="C95" s="26" t="s">
        <v>80</v>
      </c>
      <c r="D95" s="26">
        <v>50</v>
      </c>
      <c r="E95" s="105">
        <v>1</v>
      </c>
      <c r="F95" s="105">
        <v>1.111</v>
      </c>
      <c r="G95" s="25">
        <f t="shared" si="3"/>
        <v>55.55</v>
      </c>
      <c r="H95" s="116">
        <f t="shared" si="4"/>
        <v>790.2770882127699</v>
      </c>
      <c r="I95" s="23"/>
    </row>
    <row r="96" spans="1:9" ht="12.75">
      <c r="A96" s="23"/>
      <c r="B96" s="44" t="s">
        <v>292</v>
      </c>
      <c r="C96" s="26" t="s">
        <v>80</v>
      </c>
      <c r="D96" s="26">
        <v>50</v>
      </c>
      <c r="E96" s="105">
        <v>1</v>
      </c>
      <c r="F96" s="105">
        <v>3.333</v>
      </c>
      <c r="G96" s="25">
        <f t="shared" si="3"/>
        <v>166.65</v>
      </c>
      <c r="H96" s="116">
        <f t="shared" si="4"/>
        <v>2370.83126463831</v>
      </c>
      <c r="I96" s="23"/>
    </row>
    <row r="97" spans="1:9" ht="12.75">
      <c r="A97" s="23"/>
      <c r="B97" s="44" t="s">
        <v>293</v>
      </c>
      <c r="C97" s="26" t="s">
        <v>80</v>
      </c>
      <c r="D97" s="26">
        <v>100</v>
      </c>
      <c r="E97" s="105">
        <v>1</v>
      </c>
      <c r="F97" s="105">
        <v>0.04</v>
      </c>
      <c r="G97" s="25">
        <f t="shared" si="3"/>
        <v>4</v>
      </c>
      <c r="H97" s="116">
        <f t="shared" si="4"/>
        <v>56.90564091541098</v>
      </c>
      <c r="I97" s="23"/>
    </row>
    <row r="98" spans="1:9" ht="12.75">
      <c r="A98" s="23"/>
      <c r="B98" s="44" t="s">
        <v>294</v>
      </c>
      <c r="C98" s="26" t="s">
        <v>295</v>
      </c>
      <c r="D98" s="26">
        <v>1.5</v>
      </c>
      <c r="E98" s="105">
        <v>1</v>
      </c>
      <c r="F98" s="105">
        <v>14.286</v>
      </c>
      <c r="G98" s="58">
        <f t="shared" si="3"/>
        <v>21.429</v>
      </c>
      <c r="H98" s="116">
        <f t="shared" si="4"/>
        <v>304.8577447940854</v>
      </c>
      <c r="I98" s="23"/>
    </row>
    <row r="99" spans="1:9" ht="14.25">
      <c r="A99" s="23"/>
      <c r="B99" s="44" t="s">
        <v>113</v>
      </c>
      <c r="C99" s="26" t="s">
        <v>61</v>
      </c>
      <c r="D99" s="26">
        <v>4</v>
      </c>
      <c r="E99" s="135">
        <v>11</v>
      </c>
      <c r="F99" s="105">
        <v>1</v>
      </c>
      <c r="G99" s="25">
        <f t="shared" si="3"/>
        <v>44</v>
      </c>
      <c r="H99" s="116">
        <f t="shared" si="4"/>
        <v>625.9620500695207</v>
      </c>
      <c r="I99" s="23"/>
    </row>
    <row r="100" spans="1:9" ht="14.25">
      <c r="A100" s="23"/>
      <c r="B100" s="44" t="s">
        <v>114</v>
      </c>
      <c r="C100" s="26" t="s">
        <v>61</v>
      </c>
      <c r="D100" s="26">
        <v>17</v>
      </c>
      <c r="E100" s="135">
        <v>3</v>
      </c>
      <c r="F100" s="105">
        <v>1</v>
      </c>
      <c r="G100" s="25">
        <f t="shared" si="3"/>
        <v>51</v>
      </c>
      <c r="H100" s="116">
        <f t="shared" si="4"/>
        <v>725.5469216714899</v>
      </c>
      <c r="I100" s="23"/>
    </row>
    <row r="101" spans="1:9" ht="14.25">
      <c r="A101" s="23"/>
      <c r="B101" s="44" t="s">
        <v>110</v>
      </c>
      <c r="C101" s="26" t="s">
        <v>61</v>
      </c>
      <c r="D101" s="26">
        <v>16</v>
      </c>
      <c r="E101" s="135">
        <f>4*3</f>
        <v>12</v>
      </c>
      <c r="F101" s="105">
        <v>1</v>
      </c>
      <c r="G101" s="25">
        <f t="shared" si="3"/>
        <v>192</v>
      </c>
      <c r="H101" s="116">
        <f t="shared" si="4"/>
        <v>2731.470763939727</v>
      </c>
      <c r="I101" s="23"/>
    </row>
    <row r="102" spans="1:9" ht="14.25">
      <c r="A102" s="23"/>
      <c r="B102" s="44" t="s">
        <v>296</v>
      </c>
      <c r="C102" s="26" t="s">
        <v>61</v>
      </c>
      <c r="D102" s="26">
        <v>0</v>
      </c>
      <c r="E102" s="135">
        <v>0</v>
      </c>
      <c r="F102" s="105">
        <v>1</v>
      </c>
      <c r="G102" s="25">
        <f t="shared" si="3"/>
        <v>0</v>
      </c>
      <c r="H102" s="116">
        <f t="shared" si="4"/>
        <v>0</v>
      </c>
      <c r="I102" s="23"/>
    </row>
    <row r="103" spans="1:9" ht="14.25">
      <c r="A103" s="23"/>
      <c r="B103" s="44" t="s">
        <v>421</v>
      </c>
      <c r="C103" s="26" t="s">
        <v>61</v>
      </c>
      <c r="D103" s="26">
        <v>7164</v>
      </c>
      <c r="E103" s="135">
        <v>1</v>
      </c>
      <c r="F103" s="105">
        <v>1</v>
      </c>
      <c r="G103" s="25">
        <f t="shared" si="3"/>
        <v>7164</v>
      </c>
      <c r="H103" s="116">
        <f t="shared" si="4"/>
        <v>101918.00287950106</v>
      </c>
      <c r="I103" s="23"/>
    </row>
    <row r="104" spans="1:9" ht="12.75">
      <c r="A104" s="23">
        <v>2</v>
      </c>
      <c r="B104" s="30" t="s">
        <v>298</v>
      </c>
      <c r="C104" s="23"/>
      <c r="D104" s="23"/>
      <c r="E104" s="25"/>
      <c r="F104" s="105"/>
      <c r="G104" s="25"/>
      <c r="H104" s="116"/>
      <c r="I104" s="23"/>
    </row>
    <row r="105" spans="1:9" ht="12.75">
      <c r="A105" s="44"/>
      <c r="B105" s="30" t="s">
        <v>299</v>
      </c>
      <c r="C105" s="23"/>
      <c r="D105" s="23"/>
      <c r="E105" s="25"/>
      <c r="F105" s="25"/>
      <c r="G105" s="25"/>
      <c r="H105" s="116"/>
      <c r="I105" s="23"/>
    </row>
    <row r="106" spans="1:9" ht="14.25">
      <c r="A106" s="84"/>
      <c r="B106" s="44" t="s">
        <v>70</v>
      </c>
      <c r="C106" s="26" t="s">
        <v>71</v>
      </c>
      <c r="D106" s="26">
        <v>4000</v>
      </c>
      <c r="E106" s="135">
        <v>4</v>
      </c>
      <c r="F106" s="105">
        <v>0.056</v>
      </c>
      <c r="G106" s="25">
        <f>D106*E106*F106</f>
        <v>896</v>
      </c>
      <c r="H106" s="116">
        <f t="shared" si="4"/>
        <v>12746.86356505206</v>
      </c>
      <c r="I106" s="23"/>
    </row>
    <row r="107" spans="1:9" ht="14.25">
      <c r="A107" s="84"/>
      <c r="B107" s="23" t="s">
        <v>72</v>
      </c>
      <c r="C107" s="26" t="s">
        <v>73</v>
      </c>
      <c r="D107" s="26">
        <v>4000</v>
      </c>
      <c r="E107" s="135">
        <v>3</v>
      </c>
      <c r="F107" s="105">
        <v>0.12</v>
      </c>
      <c r="G107" s="25">
        <f aca="true" t="shared" si="5" ref="G107:G114">D107*E107*F107</f>
        <v>1440</v>
      </c>
      <c r="H107" s="116">
        <f t="shared" si="4"/>
        <v>20486.03072954795</v>
      </c>
      <c r="I107" s="23"/>
    </row>
    <row r="108" spans="1:9" ht="14.25">
      <c r="A108" s="85"/>
      <c r="B108" s="27" t="s">
        <v>74</v>
      </c>
      <c r="C108" s="26" t="s">
        <v>73</v>
      </c>
      <c r="D108" s="26">
        <v>1000</v>
      </c>
      <c r="E108" s="135">
        <v>2</v>
      </c>
      <c r="F108" s="105">
        <v>0.062</v>
      </c>
      <c r="G108" s="25">
        <f t="shared" si="5"/>
        <v>124</v>
      </c>
      <c r="H108" s="116">
        <f t="shared" si="4"/>
        <v>1764.0748683777404</v>
      </c>
      <c r="I108" s="23"/>
    </row>
    <row r="109" spans="1:9" ht="14.25">
      <c r="A109" s="84"/>
      <c r="B109" s="23" t="s">
        <v>75</v>
      </c>
      <c r="C109" s="26" t="s">
        <v>71</v>
      </c>
      <c r="D109" s="26">
        <v>1000</v>
      </c>
      <c r="E109" s="135">
        <v>3</v>
      </c>
      <c r="F109" s="105">
        <v>0.04</v>
      </c>
      <c r="G109" s="25">
        <f t="shared" si="5"/>
        <v>120</v>
      </c>
      <c r="H109" s="116">
        <f t="shared" si="4"/>
        <v>1707.1692274623292</v>
      </c>
      <c r="I109" s="23"/>
    </row>
    <row r="110" spans="1:9" ht="14.25">
      <c r="A110" s="84"/>
      <c r="B110" s="23" t="s">
        <v>76</v>
      </c>
      <c r="C110" s="26" t="s">
        <v>71</v>
      </c>
      <c r="D110" s="26">
        <v>4000</v>
      </c>
      <c r="E110" s="135">
        <v>1</v>
      </c>
      <c r="F110" s="105">
        <v>0.03</v>
      </c>
      <c r="G110" s="25">
        <f t="shared" si="5"/>
        <v>120</v>
      </c>
      <c r="H110" s="116">
        <f t="shared" si="4"/>
        <v>1707.1692274623292</v>
      </c>
      <c r="I110" s="23"/>
    </row>
    <row r="111" spans="1:9" ht="14.25">
      <c r="A111" s="84"/>
      <c r="B111" s="23" t="s">
        <v>77</v>
      </c>
      <c r="C111" s="26" t="s">
        <v>71</v>
      </c>
      <c r="D111" s="26">
        <v>4000</v>
      </c>
      <c r="E111" s="135">
        <v>1</v>
      </c>
      <c r="F111" s="105">
        <v>0.036</v>
      </c>
      <c r="G111" s="25">
        <f t="shared" si="5"/>
        <v>144</v>
      </c>
      <c r="H111" s="116">
        <f t="shared" si="4"/>
        <v>2048.603072954795</v>
      </c>
      <c r="I111" s="23"/>
    </row>
    <row r="112" spans="1:9" ht="14.25">
      <c r="A112" s="84"/>
      <c r="B112" s="23" t="s">
        <v>78</v>
      </c>
      <c r="C112" s="26" t="s">
        <v>71</v>
      </c>
      <c r="D112" s="26">
        <v>50</v>
      </c>
      <c r="E112" s="135">
        <v>2</v>
      </c>
      <c r="F112" s="105">
        <v>0.019</v>
      </c>
      <c r="G112" s="25">
        <f t="shared" si="5"/>
        <v>1.9</v>
      </c>
      <c r="H112" s="116">
        <f t="shared" si="4"/>
        <v>27.030179434820212</v>
      </c>
      <c r="I112" s="23"/>
    </row>
    <row r="113" spans="1:9" ht="14.25">
      <c r="A113" s="84"/>
      <c r="B113" s="23" t="s">
        <v>79</v>
      </c>
      <c r="C113" s="26" t="s">
        <v>71</v>
      </c>
      <c r="D113" s="26">
        <v>4000</v>
      </c>
      <c r="E113" s="135">
        <v>1</v>
      </c>
      <c r="F113" s="105">
        <v>0.056</v>
      </c>
      <c r="G113" s="25">
        <f t="shared" si="5"/>
        <v>224</v>
      </c>
      <c r="H113" s="116">
        <f t="shared" si="4"/>
        <v>3186.715891263015</v>
      </c>
      <c r="I113" s="23"/>
    </row>
    <row r="114" spans="1:9" ht="14.25">
      <c r="A114" s="44"/>
      <c r="B114" s="23" t="s">
        <v>81</v>
      </c>
      <c r="C114" s="26" t="s">
        <v>80</v>
      </c>
      <c r="D114" s="26">
        <v>5</v>
      </c>
      <c r="E114" s="135">
        <v>1</v>
      </c>
      <c r="F114" s="105">
        <v>19.2</v>
      </c>
      <c r="G114" s="25">
        <f t="shared" si="5"/>
        <v>96</v>
      </c>
      <c r="H114" s="116">
        <f t="shared" si="4"/>
        <v>1365.7353819698635</v>
      </c>
      <c r="I114" s="23"/>
    </row>
    <row r="115" spans="1:9" ht="14.25">
      <c r="A115" s="44"/>
      <c r="B115" s="23" t="s">
        <v>249</v>
      </c>
      <c r="C115" s="26" t="s">
        <v>61</v>
      </c>
      <c r="D115" s="26">
        <v>2222</v>
      </c>
      <c r="E115" s="135">
        <v>1</v>
      </c>
      <c r="F115" s="105">
        <v>1</v>
      </c>
      <c r="G115" s="25">
        <v>2222</v>
      </c>
      <c r="H115" s="116">
        <f t="shared" si="4"/>
        <v>31611.083528510797</v>
      </c>
      <c r="I115" s="23"/>
    </row>
    <row r="116" spans="1:9" ht="12.75">
      <c r="A116" s="44">
        <v>3</v>
      </c>
      <c r="B116" s="29" t="s">
        <v>118</v>
      </c>
      <c r="C116" s="26"/>
      <c r="D116" s="26"/>
      <c r="E116" s="25"/>
      <c r="F116" s="25"/>
      <c r="G116" s="25"/>
      <c r="H116" s="116"/>
      <c r="I116" s="23"/>
    </row>
    <row r="117" spans="1:9" ht="14.25">
      <c r="A117" s="84"/>
      <c r="B117" s="23" t="s">
        <v>86</v>
      </c>
      <c r="C117" s="26" t="s">
        <v>73</v>
      </c>
      <c r="D117" s="26">
        <v>2000</v>
      </c>
      <c r="E117" s="135">
        <v>3</v>
      </c>
      <c r="F117" s="105">
        <v>0.099</v>
      </c>
      <c r="G117" s="25">
        <f aca="true" t="shared" si="6" ref="G117:G122">D117*E117*F117</f>
        <v>594</v>
      </c>
      <c r="H117" s="116">
        <f t="shared" si="4"/>
        <v>8450.48767593853</v>
      </c>
      <c r="I117" s="23"/>
    </row>
    <row r="118" spans="1:9" ht="14.25">
      <c r="A118" s="44"/>
      <c r="B118" s="23" t="s">
        <v>87</v>
      </c>
      <c r="C118" s="26" t="s">
        <v>73</v>
      </c>
      <c r="D118" s="26">
        <v>4000</v>
      </c>
      <c r="E118" s="135">
        <v>1</v>
      </c>
      <c r="F118" s="105">
        <v>0.048</v>
      </c>
      <c r="G118" s="25">
        <f t="shared" si="6"/>
        <v>192</v>
      </c>
      <c r="H118" s="116">
        <f t="shared" si="4"/>
        <v>2731.470763939727</v>
      </c>
      <c r="I118" s="23"/>
    </row>
    <row r="119" spans="1:9" ht="14.25">
      <c r="A119" s="85"/>
      <c r="B119" s="27" t="s">
        <v>88</v>
      </c>
      <c r="C119" s="26" t="s">
        <v>80</v>
      </c>
      <c r="D119" s="26">
        <v>67100</v>
      </c>
      <c r="E119" s="135">
        <v>3</v>
      </c>
      <c r="F119" s="105">
        <v>0.056</v>
      </c>
      <c r="G119" s="107">
        <f t="shared" si="6"/>
        <v>11272.800000000001</v>
      </c>
      <c r="H119" s="116">
        <f t="shared" si="4"/>
        <v>160371.47722781124</v>
      </c>
      <c r="I119" s="23"/>
    </row>
    <row r="120" spans="1:9" ht="14.25">
      <c r="A120" s="44"/>
      <c r="B120" s="23" t="s">
        <v>89</v>
      </c>
      <c r="C120" s="26" t="s">
        <v>80</v>
      </c>
      <c r="D120" s="26">
        <v>50000</v>
      </c>
      <c r="E120" s="135">
        <v>1</v>
      </c>
      <c r="F120" s="105">
        <v>0.026</v>
      </c>
      <c r="G120" s="107">
        <f t="shared" si="6"/>
        <v>1300</v>
      </c>
      <c r="H120" s="116">
        <f t="shared" si="4"/>
        <v>18494.33329750857</v>
      </c>
      <c r="I120" s="23"/>
    </row>
    <row r="121" spans="1:9" ht="14.25">
      <c r="A121" s="44"/>
      <c r="B121" s="23" t="s">
        <v>90</v>
      </c>
      <c r="C121" s="26" t="s">
        <v>80</v>
      </c>
      <c r="D121" s="26">
        <v>50000</v>
      </c>
      <c r="E121" s="135">
        <v>1</v>
      </c>
      <c r="F121" s="105">
        <v>0.013</v>
      </c>
      <c r="G121" s="107">
        <f t="shared" si="6"/>
        <v>650</v>
      </c>
      <c r="H121" s="116">
        <f t="shared" si="4"/>
        <v>9247.166648754284</v>
      </c>
      <c r="I121" s="23"/>
    </row>
    <row r="122" spans="1:9" ht="14.25">
      <c r="A122" s="44"/>
      <c r="B122" s="23" t="s">
        <v>91</v>
      </c>
      <c r="C122" s="26" t="s">
        <v>66</v>
      </c>
      <c r="D122" s="26">
        <v>22834</v>
      </c>
      <c r="E122" s="135">
        <v>3</v>
      </c>
      <c r="F122" s="105">
        <v>0.156</v>
      </c>
      <c r="G122" s="107">
        <f t="shared" si="6"/>
        <v>10686.312</v>
      </c>
      <c r="H122" s="116">
        <f t="shared" si="4"/>
        <v>152027.85834551184</v>
      </c>
      <c r="I122" s="23"/>
    </row>
    <row r="123" spans="1:9" ht="14.25">
      <c r="A123" s="44"/>
      <c r="B123" s="23" t="s">
        <v>422</v>
      </c>
      <c r="C123" s="26" t="s">
        <v>61</v>
      </c>
      <c r="D123" s="26">
        <v>710</v>
      </c>
      <c r="E123" s="135">
        <v>1</v>
      </c>
      <c r="F123" s="105">
        <v>1</v>
      </c>
      <c r="G123" s="107">
        <v>710</v>
      </c>
      <c r="H123" s="116">
        <f t="shared" si="4"/>
        <v>10100.751262485448</v>
      </c>
      <c r="I123" s="23"/>
    </row>
    <row r="124" spans="1:9" ht="14.25">
      <c r="A124" s="44"/>
      <c r="B124" s="23" t="s">
        <v>423</v>
      </c>
      <c r="C124" s="26" t="s">
        <v>61</v>
      </c>
      <c r="D124" s="26">
        <v>800</v>
      </c>
      <c r="E124" s="135">
        <v>1</v>
      </c>
      <c r="F124" s="105">
        <v>1</v>
      </c>
      <c r="G124" s="107">
        <v>800</v>
      </c>
      <c r="H124" s="116">
        <f t="shared" si="4"/>
        <v>11381.128183082195</v>
      </c>
      <c r="I124" s="23"/>
    </row>
    <row r="125" spans="1:9" ht="12.75">
      <c r="A125" s="44">
        <v>4</v>
      </c>
      <c r="B125" s="29" t="s">
        <v>97</v>
      </c>
      <c r="C125" s="26"/>
      <c r="D125" s="26"/>
      <c r="E125" s="25"/>
      <c r="F125" s="25"/>
      <c r="G125" s="25"/>
      <c r="H125" s="116"/>
      <c r="I125" s="23"/>
    </row>
    <row r="126" spans="1:9" ht="14.25">
      <c r="A126" s="44"/>
      <c r="B126" s="23" t="s">
        <v>98</v>
      </c>
      <c r="C126" s="26" t="s">
        <v>73</v>
      </c>
      <c r="D126" s="26">
        <v>5762</v>
      </c>
      <c r="E126" s="135">
        <v>2</v>
      </c>
      <c r="F126" s="105">
        <v>0.137</v>
      </c>
      <c r="G126" s="107">
        <f>D126*E126*F126</f>
        <v>1578.788</v>
      </c>
      <c r="H126" s="116">
        <f t="shared" si="4"/>
        <v>22460.485752389966</v>
      </c>
      <c r="I126" s="23"/>
    </row>
    <row r="127" spans="1:9" ht="14.25">
      <c r="A127" s="44"/>
      <c r="B127" s="23" t="s">
        <v>99</v>
      </c>
      <c r="C127" s="26" t="s">
        <v>53</v>
      </c>
      <c r="D127" s="26">
        <v>70</v>
      </c>
      <c r="E127" s="135">
        <v>1</v>
      </c>
      <c r="F127" s="105">
        <v>3.448</v>
      </c>
      <c r="G127" s="107">
        <f aca="true" t="shared" si="7" ref="G127:G136">D127*E127*F127</f>
        <v>241.35999999999999</v>
      </c>
      <c r="H127" s="116">
        <f t="shared" si="4"/>
        <v>3433.686372835898</v>
      </c>
      <c r="I127" s="23"/>
    </row>
    <row r="128" spans="1:9" ht="25.5">
      <c r="A128" s="85"/>
      <c r="B128" s="27" t="s">
        <v>100</v>
      </c>
      <c r="C128" s="26" t="s">
        <v>53</v>
      </c>
      <c r="D128" s="26">
        <v>80</v>
      </c>
      <c r="E128" s="135">
        <v>3</v>
      </c>
      <c r="F128" s="105">
        <v>6.667</v>
      </c>
      <c r="G128" s="107">
        <f t="shared" si="7"/>
        <v>1600.08</v>
      </c>
      <c r="H128" s="116">
        <f t="shared" si="4"/>
        <v>22763.394478982696</v>
      </c>
      <c r="I128" s="23"/>
    </row>
    <row r="129" spans="1:9" ht="14.25">
      <c r="A129" s="44"/>
      <c r="B129" s="23" t="s">
        <v>101</v>
      </c>
      <c r="C129" s="26" t="s">
        <v>53</v>
      </c>
      <c r="D129" s="26">
        <v>99.11</v>
      </c>
      <c r="E129" s="135">
        <v>4</v>
      </c>
      <c r="F129" s="105">
        <v>0.273</v>
      </c>
      <c r="G129" s="107">
        <f t="shared" si="7"/>
        <v>108.22812</v>
      </c>
      <c r="H129" s="116">
        <f t="shared" si="4"/>
        <v>1539.6976334175024</v>
      </c>
      <c r="I129" s="23"/>
    </row>
    <row r="130" spans="1:9" ht="14.25">
      <c r="A130" s="44"/>
      <c r="B130" s="23" t="s">
        <v>102</v>
      </c>
      <c r="C130" s="26" t="s">
        <v>66</v>
      </c>
      <c r="D130" s="26">
        <v>35000</v>
      </c>
      <c r="E130" s="135">
        <v>1</v>
      </c>
      <c r="F130" s="105">
        <v>0.02</v>
      </c>
      <c r="G130" s="107">
        <f t="shared" si="7"/>
        <v>700</v>
      </c>
      <c r="H130" s="116">
        <f t="shared" si="4"/>
        <v>9958.48716019692</v>
      </c>
      <c r="I130" s="23"/>
    </row>
    <row r="131" spans="1:9" ht="25.5">
      <c r="A131" s="85"/>
      <c r="B131" s="27" t="s">
        <v>103</v>
      </c>
      <c r="C131" s="26" t="s">
        <v>73</v>
      </c>
      <c r="D131" s="26">
        <v>1000</v>
      </c>
      <c r="E131" s="135">
        <v>1</v>
      </c>
      <c r="F131" s="105">
        <v>0.126</v>
      </c>
      <c r="G131" s="107">
        <f t="shared" si="7"/>
        <v>126</v>
      </c>
      <c r="H131" s="116">
        <f t="shared" si="4"/>
        <v>1792.5276888354458</v>
      </c>
      <c r="I131" s="23"/>
    </row>
    <row r="132" spans="1:9" ht="14.25">
      <c r="A132" s="85"/>
      <c r="B132" s="27" t="s">
        <v>104</v>
      </c>
      <c r="C132" s="26" t="s">
        <v>105</v>
      </c>
      <c r="D132" s="26">
        <v>100</v>
      </c>
      <c r="E132" s="135">
        <v>1</v>
      </c>
      <c r="F132" s="105">
        <v>7.111</v>
      </c>
      <c r="G132" s="107">
        <f t="shared" si="7"/>
        <v>711.1</v>
      </c>
      <c r="H132" s="116">
        <f t="shared" si="4"/>
        <v>10116.400313737187</v>
      </c>
      <c r="I132" s="23"/>
    </row>
    <row r="133" spans="1:9" ht="14.25">
      <c r="A133" s="44"/>
      <c r="B133" s="27" t="s">
        <v>106</v>
      </c>
      <c r="C133" s="26" t="s">
        <v>105</v>
      </c>
      <c r="D133" s="26">
        <v>15</v>
      </c>
      <c r="E133" s="135">
        <v>1</v>
      </c>
      <c r="F133" s="105">
        <v>7.822</v>
      </c>
      <c r="G133" s="107">
        <f t="shared" si="7"/>
        <v>117.33</v>
      </c>
      <c r="H133" s="116">
        <f t="shared" si="4"/>
        <v>1669.1847121512924</v>
      </c>
      <c r="I133" s="23"/>
    </row>
    <row r="134" spans="1:9" ht="14.25">
      <c r="A134" s="44"/>
      <c r="B134" s="23" t="s">
        <v>107</v>
      </c>
      <c r="C134" s="26" t="s">
        <v>80</v>
      </c>
      <c r="D134" s="26">
        <v>1000</v>
      </c>
      <c r="E134" s="135">
        <v>1</v>
      </c>
      <c r="F134" s="105">
        <v>0.067</v>
      </c>
      <c r="G134" s="107">
        <f t="shared" si="7"/>
        <v>67</v>
      </c>
      <c r="H134" s="116">
        <f t="shared" si="4"/>
        <v>953.1694853331338</v>
      </c>
      <c r="I134" s="23"/>
    </row>
    <row r="135" spans="1:9" ht="14.25">
      <c r="A135" s="44"/>
      <c r="B135" s="23" t="s">
        <v>108</v>
      </c>
      <c r="C135" s="26" t="s">
        <v>84</v>
      </c>
      <c r="D135" s="26">
        <v>144</v>
      </c>
      <c r="E135" s="135">
        <v>1</v>
      </c>
      <c r="F135" s="105">
        <v>1.111</v>
      </c>
      <c r="G135" s="107">
        <f t="shared" si="7"/>
        <v>159.984</v>
      </c>
      <c r="H135" s="116">
        <f t="shared" si="4"/>
        <v>2275.9980140527778</v>
      </c>
      <c r="I135" s="23"/>
    </row>
    <row r="136" spans="1:9" ht="14.25">
      <c r="A136" s="44"/>
      <c r="B136" s="23" t="s">
        <v>109</v>
      </c>
      <c r="C136" s="26" t="s">
        <v>73</v>
      </c>
      <c r="D136" s="26">
        <v>2738</v>
      </c>
      <c r="E136" s="135">
        <v>1</v>
      </c>
      <c r="F136" s="105">
        <v>0.034</v>
      </c>
      <c r="G136" s="107">
        <f t="shared" si="7"/>
        <v>93.09200000000001</v>
      </c>
      <c r="H136" s="116">
        <f t="shared" si="4"/>
        <v>1324.3649810243598</v>
      </c>
      <c r="I136" s="23"/>
    </row>
    <row r="137" spans="1:9" ht="14.25">
      <c r="A137" s="44"/>
      <c r="B137" s="23" t="s">
        <v>248</v>
      </c>
      <c r="C137" s="26" t="s">
        <v>61</v>
      </c>
      <c r="D137" s="26">
        <v>1364</v>
      </c>
      <c r="E137" s="135">
        <v>1</v>
      </c>
      <c r="F137" s="105">
        <v>1</v>
      </c>
      <c r="G137" s="107">
        <v>1364</v>
      </c>
      <c r="H137" s="116">
        <f t="shared" si="4"/>
        <v>19404.823552155143</v>
      </c>
      <c r="I137" s="23"/>
    </row>
    <row r="138" spans="1:9" ht="12.75">
      <c r="A138" s="44">
        <v>5</v>
      </c>
      <c r="B138" s="29" t="s">
        <v>111</v>
      </c>
      <c r="C138" s="26"/>
      <c r="D138" s="26"/>
      <c r="E138" s="25"/>
      <c r="F138" s="25"/>
      <c r="G138" s="25"/>
      <c r="H138" s="116"/>
      <c r="I138" s="23"/>
    </row>
    <row r="139" spans="1:9" ht="14.25">
      <c r="A139" s="26"/>
      <c r="B139" s="23" t="s">
        <v>112</v>
      </c>
      <c r="C139" s="26" t="s">
        <v>53</v>
      </c>
      <c r="D139" s="46">
        <v>700</v>
      </c>
      <c r="E139" s="135">
        <v>5</v>
      </c>
      <c r="F139" s="105">
        <v>0.65</v>
      </c>
      <c r="G139" s="25">
        <f>D139*E139*F139</f>
        <v>2275</v>
      </c>
      <c r="H139" s="116">
        <f t="shared" si="4"/>
        <v>32365.083270639992</v>
      </c>
      <c r="I139" s="23"/>
    </row>
    <row r="140" spans="1:9" ht="14.25">
      <c r="A140" s="26"/>
      <c r="B140" s="23" t="s">
        <v>115</v>
      </c>
      <c r="C140" s="26" t="s">
        <v>61</v>
      </c>
      <c r="D140" s="26">
        <v>40</v>
      </c>
      <c r="E140" s="135">
        <v>5</v>
      </c>
      <c r="F140" s="105">
        <v>1</v>
      </c>
      <c r="G140" s="25">
        <f>D140*E140*F140</f>
        <v>200</v>
      </c>
      <c r="H140" s="116">
        <f t="shared" si="4"/>
        <v>2845.282045770549</v>
      </c>
      <c r="I140" s="23"/>
    </row>
    <row r="141" spans="1:9" ht="14.25">
      <c r="A141" s="26"/>
      <c r="B141" s="23" t="s">
        <v>116</v>
      </c>
      <c r="C141" s="26" t="s">
        <v>61</v>
      </c>
      <c r="D141" s="26">
        <v>33</v>
      </c>
      <c r="E141" s="135">
        <v>12</v>
      </c>
      <c r="F141" s="105">
        <v>1</v>
      </c>
      <c r="G141" s="25">
        <f>D141*E141*F141</f>
        <v>396</v>
      </c>
      <c r="H141" s="116">
        <f t="shared" si="4"/>
        <v>5633.658450625687</v>
      </c>
      <c r="I141" s="23"/>
    </row>
    <row r="142" spans="1:9" ht="14.25">
      <c r="A142" s="26"/>
      <c r="B142" s="23" t="s">
        <v>117</v>
      </c>
      <c r="C142" s="26" t="s">
        <v>61</v>
      </c>
      <c r="D142" s="26">
        <v>0</v>
      </c>
      <c r="E142" s="135">
        <v>0</v>
      </c>
      <c r="F142" s="105">
        <v>1</v>
      </c>
      <c r="G142" s="25">
        <f>D142*E142*F142</f>
        <v>0</v>
      </c>
      <c r="H142" s="116">
        <f t="shared" si="4"/>
        <v>0</v>
      </c>
      <c r="I142" s="23"/>
    </row>
    <row r="143" spans="1:10" ht="18.75" customHeight="1">
      <c r="A143" s="26"/>
      <c r="B143" s="93" t="s">
        <v>260</v>
      </c>
      <c r="C143" s="42"/>
      <c r="D143" s="42"/>
      <c r="E143" s="135"/>
      <c r="F143" s="105"/>
      <c r="G143" s="92">
        <f>SUM(G93:G142)</f>
        <v>49177.33912</v>
      </c>
      <c r="H143" s="145">
        <f>SUM(H93:H142)</f>
        <v>699617.0002845284</v>
      </c>
      <c r="I143" s="23"/>
      <c r="J143" s="49"/>
    </row>
    <row r="144" spans="1:9" ht="15.75" customHeight="1">
      <c r="A144" s="24"/>
      <c r="B144" s="47" t="s">
        <v>120</v>
      </c>
      <c r="C144" s="23"/>
      <c r="D144" s="23"/>
      <c r="E144" s="24"/>
      <c r="F144" s="24"/>
      <c r="G144" s="36"/>
      <c r="H144" s="114">
        <f>H145+H146+H147</f>
        <v>13997</v>
      </c>
      <c r="I144" s="153" t="s">
        <v>69</v>
      </c>
    </row>
    <row r="145" spans="1:9" ht="12.75">
      <c r="A145" s="24"/>
      <c r="B145" s="23" t="s">
        <v>243</v>
      </c>
      <c r="C145" s="26" t="s">
        <v>242</v>
      </c>
      <c r="D145" s="24">
        <v>746</v>
      </c>
      <c r="E145" s="25"/>
      <c r="F145" s="25"/>
      <c r="G145" s="36">
        <v>507</v>
      </c>
      <c r="H145" s="114">
        <f>1496+4513+1659</f>
        <v>7668</v>
      </c>
      <c r="I145" s="153" t="s">
        <v>334</v>
      </c>
    </row>
    <row r="146" spans="1:9" ht="12.75">
      <c r="A146" s="24"/>
      <c r="B146" s="23" t="s">
        <v>244</v>
      </c>
      <c r="C146" s="26" t="s">
        <v>53</v>
      </c>
      <c r="D146" s="26">
        <v>8.15</v>
      </c>
      <c r="E146" s="25"/>
      <c r="F146" s="25"/>
      <c r="G146" s="36">
        <v>224</v>
      </c>
      <c r="H146" s="114">
        <f>234+2073+762</f>
        <v>3069</v>
      </c>
      <c r="I146" s="153" t="s">
        <v>335</v>
      </c>
    </row>
    <row r="147" spans="1:10" ht="12.75">
      <c r="A147" s="24"/>
      <c r="B147" s="23" t="s">
        <v>246</v>
      </c>
      <c r="C147" s="26" t="s">
        <v>53</v>
      </c>
      <c r="D147" s="24">
        <v>75</v>
      </c>
      <c r="E147" s="25"/>
      <c r="F147" s="25"/>
      <c r="G147" s="36">
        <v>711</v>
      </c>
      <c r="H147" s="114">
        <f>1594+1218+448</f>
        <v>3260</v>
      </c>
      <c r="I147" s="153" t="s">
        <v>333</v>
      </c>
      <c r="J147" s="49"/>
    </row>
    <row r="148" spans="1:9" ht="15.75" customHeight="1">
      <c r="A148" s="24"/>
      <c r="B148" s="29" t="s">
        <v>228</v>
      </c>
      <c r="C148" s="26"/>
      <c r="D148" s="24"/>
      <c r="E148" s="24"/>
      <c r="F148" s="24"/>
      <c r="G148" s="48"/>
      <c r="H148" s="114">
        <v>0</v>
      </c>
      <c r="I148" s="23"/>
    </row>
    <row r="149" spans="1:9" ht="12.75">
      <c r="A149" s="24"/>
      <c r="B149" s="29" t="s">
        <v>121</v>
      </c>
      <c r="C149" s="26" t="s">
        <v>80</v>
      </c>
      <c r="D149" s="25">
        <v>1</v>
      </c>
      <c r="E149" s="25"/>
      <c r="F149" s="25"/>
      <c r="G149" s="58"/>
      <c r="H149" s="114">
        <v>0</v>
      </c>
      <c r="I149" s="23"/>
    </row>
    <row r="150" spans="1:9" ht="12.75">
      <c r="A150" s="24"/>
      <c r="B150" s="64" t="s">
        <v>273</v>
      </c>
      <c r="C150" s="26" t="s">
        <v>80</v>
      </c>
      <c r="D150" s="25">
        <v>3</v>
      </c>
      <c r="E150" s="25"/>
      <c r="F150" s="25"/>
      <c r="G150" s="58"/>
      <c r="H150" s="114">
        <v>0</v>
      </c>
      <c r="I150" s="23"/>
    </row>
    <row r="151" spans="1:9" ht="14.25" customHeight="1">
      <c r="A151" s="24"/>
      <c r="B151" s="29" t="s">
        <v>257</v>
      </c>
      <c r="C151" s="25" t="s">
        <v>80</v>
      </c>
      <c r="D151" s="25">
        <v>2</v>
      </c>
      <c r="E151" s="25"/>
      <c r="F151" s="25"/>
      <c r="G151" s="58"/>
      <c r="H151" s="114">
        <v>0</v>
      </c>
      <c r="I151" s="23"/>
    </row>
    <row r="152" spans="1:9" ht="15" customHeight="1">
      <c r="A152" s="24"/>
      <c r="B152" s="29" t="s">
        <v>258</v>
      </c>
      <c r="C152" s="25" t="s">
        <v>80</v>
      </c>
      <c r="D152" s="25">
        <v>1</v>
      </c>
      <c r="E152" s="25"/>
      <c r="F152" s="25"/>
      <c r="G152" s="58"/>
      <c r="H152" s="114">
        <v>0</v>
      </c>
      <c r="I152" s="23"/>
    </row>
    <row r="153" spans="1:9" ht="15" customHeight="1">
      <c r="A153" s="24"/>
      <c r="B153" s="29" t="s">
        <v>259</v>
      </c>
      <c r="C153" s="25" t="s">
        <v>80</v>
      </c>
      <c r="D153" s="25">
        <v>1</v>
      </c>
      <c r="E153" s="25"/>
      <c r="F153" s="25"/>
      <c r="G153" s="58"/>
      <c r="H153" s="114">
        <v>0</v>
      </c>
      <c r="I153" s="23"/>
    </row>
    <row r="154" spans="1:9" ht="22.5" customHeight="1">
      <c r="A154" s="24"/>
      <c r="B154" s="93" t="s">
        <v>276</v>
      </c>
      <c r="C154" s="18"/>
      <c r="D154" s="18"/>
      <c r="E154" s="18"/>
      <c r="F154" s="18"/>
      <c r="G154" s="92">
        <f>G143+G145+G146+G147</f>
        <v>50619.33912</v>
      </c>
      <c r="H154" s="146">
        <f>H143+H144</f>
        <v>713614.0002845284</v>
      </c>
      <c r="I154" s="23"/>
    </row>
    <row r="155" spans="1:11" ht="15.75" customHeight="1">
      <c r="A155" s="403" t="s">
        <v>221</v>
      </c>
      <c r="B155" s="404"/>
      <c r="C155" s="404"/>
      <c r="D155" s="404"/>
      <c r="E155" s="404"/>
      <c r="F155" s="404"/>
      <c r="G155" s="404"/>
      <c r="H155" s="404"/>
      <c r="I155" s="23"/>
      <c r="K155" s="49"/>
    </row>
    <row r="156" spans="1:9" ht="15.75" customHeight="1">
      <c r="A156" s="403" t="s">
        <v>265</v>
      </c>
      <c r="B156" s="404"/>
      <c r="C156" s="404"/>
      <c r="D156" s="404"/>
      <c r="E156" s="404"/>
      <c r="F156" s="404"/>
      <c r="G156" s="404"/>
      <c r="H156" s="404"/>
      <c r="I156" s="23"/>
    </row>
    <row r="157" spans="1:9" ht="15.75" customHeight="1">
      <c r="A157" s="26">
        <v>1</v>
      </c>
      <c r="B157" s="23" t="s">
        <v>127</v>
      </c>
      <c r="C157" s="26" t="s">
        <v>53</v>
      </c>
      <c r="D157" s="50">
        <f>379+2.05+7</f>
        <v>388.05</v>
      </c>
      <c r="E157" s="137">
        <v>161</v>
      </c>
      <c r="F157" s="108">
        <v>0.162</v>
      </c>
      <c r="G157" s="107">
        <f>D157*E157*F157</f>
        <v>10121.1201</v>
      </c>
      <c r="H157" s="116">
        <f>425257.39/29147.7855*G157</f>
        <v>147664.08643986142</v>
      </c>
      <c r="I157" s="23"/>
    </row>
    <row r="158" spans="1:9" ht="15.75" customHeight="1">
      <c r="A158" s="26">
        <v>2</v>
      </c>
      <c r="B158" s="23" t="s">
        <v>128</v>
      </c>
      <c r="C158" s="26" t="s">
        <v>53</v>
      </c>
      <c r="D158" s="26">
        <v>498.66</v>
      </c>
      <c r="E158" s="137">
        <v>176</v>
      </c>
      <c r="F158" s="108">
        <v>0.03</v>
      </c>
      <c r="G158" s="107">
        <f aca="true" t="shared" si="8" ref="G158:G183">D158*E158*F158</f>
        <v>2632.9248000000002</v>
      </c>
      <c r="H158" s="116">
        <f aca="true" t="shared" si="9" ref="H158:H183">425257.39/29147.7855*G158</f>
        <v>38413.57788619215</v>
      </c>
      <c r="I158" s="23"/>
    </row>
    <row r="159" spans="1:9" ht="15.75" customHeight="1">
      <c r="A159" s="26">
        <v>3</v>
      </c>
      <c r="B159" s="23" t="s">
        <v>129</v>
      </c>
      <c r="C159" s="26" t="s">
        <v>80</v>
      </c>
      <c r="D159" s="26">
        <v>205</v>
      </c>
      <c r="E159" s="108">
        <v>180</v>
      </c>
      <c r="F159" s="108">
        <v>0.125</v>
      </c>
      <c r="G159" s="107">
        <f t="shared" si="8"/>
        <v>4612.5</v>
      </c>
      <c r="H159" s="116">
        <f t="shared" si="9"/>
        <v>67294.98237095919</v>
      </c>
      <c r="I159" s="23"/>
    </row>
    <row r="160" spans="1:9" ht="15.75" customHeight="1">
      <c r="A160" s="26">
        <v>4</v>
      </c>
      <c r="B160" s="23" t="s">
        <v>130</v>
      </c>
      <c r="C160" s="26" t="s">
        <v>53</v>
      </c>
      <c r="D160" s="26">
        <v>406.39</v>
      </c>
      <c r="E160" s="108">
        <v>3</v>
      </c>
      <c r="F160" s="108">
        <v>1.6</v>
      </c>
      <c r="G160" s="107">
        <f t="shared" si="8"/>
        <v>1950.6720000000003</v>
      </c>
      <c r="H160" s="116">
        <f t="shared" si="9"/>
        <v>28459.71552336558</v>
      </c>
      <c r="I160" s="23"/>
    </row>
    <row r="161" spans="1:9" ht="15.75" customHeight="1">
      <c r="A161" s="26">
        <v>5</v>
      </c>
      <c r="B161" s="23" t="s">
        <v>131</v>
      </c>
      <c r="C161" s="26"/>
      <c r="D161" s="26"/>
      <c r="E161" s="108"/>
      <c r="F161" s="108"/>
      <c r="G161" s="107">
        <f t="shared" si="8"/>
        <v>0</v>
      </c>
      <c r="H161" s="116">
        <f t="shared" si="9"/>
        <v>0</v>
      </c>
      <c r="I161" s="23"/>
    </row>
    <row r="162" spans="1:9" ht="12" customHeight="1">
      <c r="A162" s="26"/>
      <c r="B162" s="23" t="s">
        <v>132</v>
      </c>
      <c r="C162" s="26" t="s">
        <v>73</v>
      </c>
      <c r="D162" s="26">
        <v>4523</v>
      </c>
      <c r="E162" s="108">
        <v>1</v>
      </c>
      <c r="F162" s="108">
        <v>0.19</v>
      </c>
      <c r="G162" s="107">
        <f t="shared" si="8"/>
        <v>859.37</v>
      </c>
      <c r="H162" s="116">
        <f t="shared" si="9"/>
        <v>12537.948834716792</v>
      </c>
      <c r="I162" s="23"/>
    </row>
    <row r="163" spans="1:9" ht="13.5" customHeight="1">
      <c r="A163" s="26"/>
      <c r="B163" s="23" t="s">
        <v>133</v>
      </c>
      <c r="C163" s="26" t="s">
        <v>73</v>
      </c>
      <c r="D163" s="26">
        <v>1802.4</v>
      </c>
      <c r="E163" s="108">
        <v>1</v>
      </c>
      <c r="F163" s="108">
        <v>0.263</v>
      </c>
      <c r="G163" s="107">
        <f t="shared" si="8"/>
        <v>474.03120000000007</v>
      </c>
      <c r="H163" s="116">
        <f t="shared" si="9"/>
        <v>6915.97208613217</v>
      </c>
      <c r="I163" s="23"/>
    </row>
    <row r="164" spans="1:9" ht="15.75" customHeight="1">
      <c r="A164" s="26">
        <v>6</v>
      </c>
      <c r="B164" s="23" t="s">
        <v>134</v>
      </c>
      <c r="C164" s="26" t="s">
        <v>135</v>
      </c>
      <c r="D164" s="26">
        <v>3.5</v>
      </c>
      <c r="E164" s="108">
        <v>14</v>
      </c>
      <c r="F164" s="108">
        <v>1.35</v>
      </c>
      <c r="G164" s="107">
        <f t="shared" si="8"/>
        <v>66.15</v>
      </c>
      <c r="H164" s="116">
        <f t="shared" si="9"/>
        <v>965.1085276615612</v>
      </c>
      <c r="I164" s="23"/>
    </row>
    <row r="165" spans="1:9" ht="15.75" customHeight="1">
      <c r="A165" s="26">
        <v>7</v>
      </c>
      <c r="B165" s="23" t="s">
        <v>136</v>
      </c>
      <c r="C165" s="26" t="s">
        <v>84</v>
      </c>
      <c r="D165" s="26">
        <v>2</v>
      </c>
      <c r="E165" s="108">
        <v>12</v>
      </c>
      <c r="F165" s="108">
        <v>2.1</v>
      </c>
      <c r="G165" s="107">
        <f t="shared" si="8"/>
        <v>50.400000000000006</v>
      </c>
      <c r="H165" s="116">
        <f t="shared" si="9"/>
        <v>735.3207829802371</v>
      </c>
      <c r="I165" s="23"/>
    </row>
    <row r="166" spans="1:9" ht="15.75" customHeight="1">
      <c r="A166" s="26">
        <v>8</v>
      </c>
      <c r="B166" s="23" t="s">
        <v>137</v>
      </c>
      <c r="C166" s="26" t="s">
        <v>135</v>
      </c>
      <c r="D166" s="26">
        <v>1.5</v>
      </c>
      <c r="E166" s="108">
        <v>40</v>
      </c>
      <c r="F166" s="108">
        <v>2.75</v>
      </c>
      <c r="G166" s="107">
        <f t="shared" si="8"/>
        <v>165</v>
      </c>
      <c r="H166" s="116">
        <f t="shared" si="9"/>
        <v>2407.300182375776</v>
      </c>
      <c r="I166" s="23"/>
    </row>
    <row r="167" spans="1:9" ht="15.75" customHeight="1">
      <c r="A167" s="26">
        <v>9</v>
      </c>
      <c r="B167" s="23" t="s">
        <v>138</v>
      </c>
      <c r="C167" s="26" t="s">
        <v>135</v>
      </c>
      <c r="D167" s="26">
        <v>1.5</v>
      </c>
      <c r="E167" s="108">
        <v>40</v>
      </c>
      <c r="F167" s="108">
        <v>3.25</v>
      </c>
      <c r="G167" s="107">
        <f t="shared" si="8"/>
        <v>195</v>
      </c>
      <c r="H167" s="116">
        <f t="shared" si="9"/>
        <v>2844.991124625917</v>
      </c>
      <c r="I167" s="23"/>
    </row>
    <row r="168" spans="1:9" ht="15.75" customHeight="1">
      <c r="A168" s="26">
        <v>10</v>
      </c>
      <c r="B168" s="23" t="s">
        <v>139</v>
      </c>
      <c r="C168" s="26" t="s">
        <v>53</v>
      </c>
      <c r="D168" s="26">
        <v>249.56</v>
      </c>
      <c r="E168" s="108">
        <v>6</v>
      </c>
      <c r="F168" s="108">
        <v>0.03</v>
      </c>
      <c r="G168" s="107">
        <f t="shared" si="8"/>
        <v>44.9208</v>
      </c>
      <c r="H168" s="116">
        <f t="shared" si="9"/>
        <v>655.3809092876712</v>
      </c>
      <c r="I168" s="23"/>
    </row>
    <row r="169" spans="1:9" ht="15.75" customHeight="1">
      <c r="A169" s="26">
        <v>11</v>
      </c>
      <c r="B169" s="23" t="s">
        <v>140</v>
      </c>
      <c r="C169" s="26" t="s">
        <v>53</v>
      </c>
      <c r="D169" s="26">
        <v>169.47</v>
      </c>
      <c r="E169" s="108">
        <v>54</v>
      </c>
      <c r="F169" s="108">
        <v>0.03</v>
      </c>
      <c r="G169" s="107">
        <f t="shared" si="8"/>
        <v>274.54139999999995</v>
      </c>
      <c r="H169" s="116">
        <f t="shared" si="9"/>
        <v>4005.4761350890954</v>
      </c>
      <c r="I169" s="23"/>
    </row>
    <row r="170" spans="1:9" ht="15.75" customHeight="1">
      <c r="A170" s="26">
        <v>12</v>
      </c>
      <c r="B170" s="23" t="s">
        <v>141</v>
      </c>
      <c r="C170" s="26" t="s">
        <v>53</v>
      </c>
      <c r="D170" s="26">
        <v>4.45</v>
      </c>
      <c r="E170" s="108">
        <v>6</v>
      </c>
      <c r="F170" s="108">
        <v>6.25</v>
      </c>
      <c r="G170" s="107">
        <f t="shared" si="8"/>
        <v>166.87500000000003</v>
      </c>
      <c r="H170" s="116">
        <f t="shared" si="9"/>
        <v>2434.65586626641</v>
      </c>
      <c r="I170" s="23"/>
    </row>
    <row r="171" spans="1:9" ht="15.75" customHeight="1">
      <c r="A171" s="26">
        <v>13</v>
      </c>
      <c r="B171" s="23" t="s">
        <v>142</v>
      </c>
      <c r="C171" s="26" t="s">
        <v>73</v>
      </c>
      <c r="D171" s="26">
        <v>495</v>
      </c>
      <c r="E171" s="108">
        <v>6</v>
      </c>
      <c r="F171" s="108">
        <v>0.075</v>
      </c>
      <c r="G171" s="107">
        <f t="shared" si="8"/>
        <v>222.75</v>
      </c>
      <c r="H171" s="116">
        <f t="shared" si="9"/>
        <v>3249.8552462072976</v>
      </c>
      <c r="I171" s="23"/>
    </row>
    <row r="172" spans="1:9" ht="15.75" customHeight="1">
      <c r="A172" s="26">
        <v>14</v>
      </c>
      <c r="B172" s="23" t="s">
        <v>143</v>
      </c>
      <c r="C172" s="26" t="s">
        <v>53</v>
      </c>
      <c r="D172" s="26">
        <v>377.28</v>
      </c>
      <c r="E172" s="108">
        <v>4</v>
      </c>
      <c r="F172" s="108">
        <v>0.427</v>
      </c>
      <c r="G172" s="107">
        <f t="shared" si="8"/>
        <v>644.39424</v>
      </c>
      <c r="H172" s="116">
        <f t="shared" si="9"/>
        <v>9401.517402872118</v>
      </c>
      <c r="I172" s="23"/>
    </row>
    <row r="173" spans="1:9" ht="15.75" customHeight="1">
      <c r="A173" s="26">
        <v>15</v>
      </c>
      <c r="B173" s="23" t="s">
        <v>144</v>
      </c>
      <c r="C173" s="26" t="s">
        <v>53</v>
      </c>
      <c r="D173" s="26">
        <v>377.32</v>
      </c>
      <c r="E173" s="108">
        <v>4</v>
      </c>
      <c r="F173" s="108">
        <v>1.6</v>
      </c>
      <c r="G173" s="107">
        <f t="shared" si="8"/>
        <v>2414.848</v>
      </c>
      <c r="H173" s="116">
        <f t="shared" si="9"/>
        <v>35231.90321702896</v>
      </c>
      <c r="I173" s="23"/>
    </row>
    <row r="174" spans="1:9" ht="15.75" customHeight="1">
      <c r="A174" s="26">
        <v>16</v>
      </c>
      <c r="B174" s="23" t="s">
        <v>145</v>
      </c>
      <c r="C174" s="26"/>
      <c r="D174" s="26"/>
      <c r="E174" s="108"/>
      <c r="F174" s="108"/>
      <c r="G174" s="107">
        <f t="shared" si="8"/>
        <v>0</v>
      </c>
      <c r="H174" s="116">
        <f t="shared" si="9"/>
        <v>0</v>
      </c>
      <c r="I174" s="23"/>
    </row>
    <row r="175" spans="1:9" ht="15.75" customHeight="1">
      <c r="A175" s="26"/>
      <c r="B175" s="23" t="s">
        <v>146</v>
      </c>
      <c r="C175" s="26"/>
      <c r="D175" s="26"/>
      <c r="E175" s="108"/>
      <c r="F175" s="108"/>
      <c r="G175" s="107">
        <f t="shared" si="8"/>
        <v>0</v>
      </c>
      <c r="H175" s="116">
        <f t="shared" si="9"/>
        <v>0</v>
      </c>
      <c r="I175" s="23"/>
    </row>
    <row r="176" spans="1:9" ht="15.75" customHeight="1">
      <c r="A176" s="26"/>
      <c r="B176" s="23" t="s">
        <v>147</v>
      </c>
      <c r="C176" s="26" t="s">
        <v>53</v>
      </c>
      <c r="D176" s="26">
        <v>73.35</v>
      </c>
      <c r="E176" s="108">
        <v>12</v>
      </c>
      <c r="F176" s="108">
        <v>1.21</v>
      </c>
      <c r="G176" s="107">
        <f t="shared" si="8"/>
        <v>1065.042</v>
      </c>
      <c r="H176" s="116">
        <f t="shared" si="9"/>
        <v>15538.641217199158</v>
      </c>
      <c r="I176" s="23"/>
    </row>
    <row r="177" spans="1:9" ht="15.75" customHeight="1">
      <c r="A177" s="26"/>
      <c r="B177" s="23" t="s">
        <v>148</v>
      </c>
      <c r="C177" s="26" t="s">
        <v>53</v>
      </c>
      <c r="D177" s="26">
        <v>73.35</v>
      </c>
      <c r="E177" s="108">
        <v>12</v>
      </c>
      <c r="F177" s="108">
        <v>1.43</v>
      </c>
      <c r="G177" s="107">
        <f t="shared" si="8"/>
        <v>1258.686</v>
      </c>
      <c r="H177" s="116">
        <f t="shared" si="9"/>
        <v>18363.84871123537</v>
      </c>
      <c r="I177" s="23"/>
    </row>
    <row r="178" spans="1:9" ht="15.75" customHeight="1">
      <c r="A178" s="26">
        <v>17</v>
      </c>
      <c r="B178" s="23" t="s">
        <v>149</v>
      </c>
      <c r="C178" s="26" t="s">
        <v>53</v>
      </c>
      <c r="D178" s="26">
        <v>79.3</v>
      </c>
      <c r="E178" s="108">
        <v>23</v>
      </c>
      <c r="F178" s="108">
        <v>0.4</v>
      </c>
      <c r="G178" s="107">
        <f t="shared" si="8"/>
        <v>729.56</v>
      </c>
      <c r="H178" s="116">
        <f t="shared" si="9"/>
        <v>10644.06012760043</v>
      </c>
      <c r="I178" s="23"/>
    </row>
    <row r="179" spans="1:9" ht="15.75" customHeight="1">
      <c r="A179" s="26">
        <v>18</v>
      </c>
      <c r="B179" s="23" t="s">
        <v>150</v>
      </c>
      <c r="C179" s="26" t="s">
        <v>80</v>
      </c>
      <c r="D179" s="26"/>
      <c r="E179" s="108">
        <v>0</v>
      </c>
      <c r="F179" s="108"/>
      <c r="G179" s="107">
        <f t="shared" si="8"/>
        <v>0</v>
      </c>
      <c r="H179" s="116">
        <f t="shared" si="9"/>
        <v>0</v>
      </c>
      <c r="I179" s="23"/>
    </row>
    <row r="180" spans="1:9" ht="15.75" customHeight="1">
      <c r="A180" s="26">
        <v>19</v>
      </c>
      <c r="B180" s="23" t="s">
        <v>151</v>
      </c>
      <c r="C180" s="26"/>
      <c r="D180" s="26"/>
      <c r="E180" s="108"/>
      <c r="F180" s="108"/>
      <c r="G180" s="107">
        <f t="shared" si="8"/>
        <v>0</v>
      </c>
      <c r="H180" s="116">
        <f t="shared" si="9"/>
        <v>0</v>
      </c>
      <c r="I180" s="23"/>
    </row>
    <row r="181" spans="1:9" ht="15.75" customHeight="1">
      <c r="A181" s="26"/>
      <c r="B181" s="23" t="s">
        <v>152</v>
      </c>
      <c r="C181" s="26" t="s">
        <v>65</v>
      </c>
      <c r="D181" s="26">
        <v>0</v>
      </c>
      <c r="E181" s="108">
        <v>0</v>
      </c>
      <c r="F181" s="108">
        <v>0</v>
      </c>
      <c r="G181" s="107">
        <f t="shared" si="8"/>
        <v>0</v>
      </c>
      <c r="H181" s="116">
        <f t="shared" si="9"/>
        <v>0</v>
      </c>
      <c r="I181" s="23"/>
    </row>
    <row r="182" spans="1:9" ht="15.75" customHeight="1">
      <c r="A182" s="26">
        <v>20</v>
      </c>
      <c r="B182" s="136" t="s">
        <v>414</v>
      </c>
      <c r="C182" s="26" t="s">
        <v>80</v>
      </c>
      <c r="D182" s="26">
        <v>200</v>
      </c>
      <c r="E182" s="108">
        <v>1</v>
      </c>
      <c r="F182" s="108">
        <v>0.115</v>
      </c>
      <c r="G182" s="107">
        <f t="shared" si="8"/>
        <v>23</v>
      </c>
      <c r="H182" s="116">
        <f t="shared" si="9"/>
        <v>335.5630557251082</v>
      </c>
      <c r="I182" s="23"/>
    </row>
    <row r="183" spans="1:10" ht="15.75" customHeight="1">
      <c r="A183" s="26">
        <v>21</v>
      </c>
      <c r="B183" s="23" t="s">
        <v>153</v>
      </c>
      <c r="C183" s="26" t="s">
        <v>61</v>
      </c>
      <c r="D183" s="26">
        <f>21*8</f>
        <v>168</v>
      </c>
      <c r="E183" s="108">
        <v>7</v>
      </c>
      <c r="F183" s="108">
        <v>1</v>
      </c>
      <c r="G183" s="107">
        <f t="shared" si="8"/>
        <v>1176</v>
      </c>
      <c r="H183" s="116">
        <f t="shared" si="9"/>
        <v>17157.484936205532</v>
      </c>
      <c r="I183" s="23"/>
      <c r="J183" s="130"/>
    </row>
    <row r="184" spans="1:10" ht="16.5" customHeight="1">
      <c r="A184" s="42"/>
      <c r="B184" s="91" t="s">
        <v>362</v>
      </c>
      <c r="C184" s="42"/>
      <c r="D184" s="42"/>
      <c r="E184" s="177"/>
      <c r="F184" s="177"/>
      <c r="G184" s="92">
        <f>SUM(G157:G183)</f>
        <v>29147.785540000008</v>
      </c>
      <c r="H184" s="121">
        <f>SUM(H157:H183)</f>
        <v>425257.3905835879</v>
      </c>
      <c r="I184" s="23"/>
      <c r="J184" s="130"/>
    </row>
    <row r="185" spans="1:9" ht="19.5" customHeight="1">
      <c r="A185" s="26">
        <v>21</v>
      </c>
      <c r="B185" s="91" t="s">
        <v>154</v>
      </c>
      <c r="C185" s="42"/>
      <c r="D185" s="42"/>
      <c r="E185" s="135"/>
      <c r="F185" s="18"/>
      <c r="G185" s="92"/>
      <c r="H185" s="92">
        <f>H186+H187+H188+H189+H190+H191+H192</f>
        <v>94219</v>
      </c>
      <c r="I185" s="153" t="s">
        <v>69</v>
      </c>
    </row>
    <row r="186" spans="1:9" ht="13.5" customHeight="1">
      <c r="A186" s="26"/>
      <c r="B186" s="51" t="s">
        <v>263</v>
      </c>
      <c r="C186" s="30" t="s">
        <v>53</v>
      </c>
      <c r="D186" s="30">
        <f>7.3+0.12+0.69+0.14+0.2+0.08</f>
        <v>8.53</v>
      </c>
      <c r="E186" s="24"/>
      <c r="F186" s="24"/>
      <c r="G186" s="58">
        <v>999</v>
      </c>
      <c r="H186" s="120">
        <f>4391+9913+3645</f>
        <v>17949</v>
      </c>
      <c r="I186" s="155" t="s">
        <v>341</v>
      </c>
    </row>
    <row r="187" spans="1:9" ht="13.5" customHeight="1">
      <c r="A187" s="26"/>
      <c r="B187" s="23" t="s">
        <v>193</v>
      </c>
      <c r="C187" s="30" t="s">
        <v>53</v>
      </c>
      <c r="D187" s="30">
        <v>135.26</v>
      </c>
      <c r="E187" s="24"/>
      <c r="F187" s="24"/>
      <c r="G187" s="58">
        <v>3717</v>
      </c>
      <c r="H187" s="120">
        <f>1960+34401+12649</f>
        <v>49010</v>
      </c>
      <c r="I187" s="155" t="s">
        <v>336</v>
      </c>
    </row>
    <row r="188" spans="1:9" ht="13.5" customHeight="1">
      <c r="A188" s="26"/>
      <c r="B188" s="23" t="s">
        <v>261</v>
      </c>
      <c r="C188" s="30" t="s">
        <v>53</v>
      </c>
      <c r="D188" s="24">
        <f>0.04+0.1025+0.11+0.02</f>
        <v>0.2725</v>
      </c>
      <c r="E188" s="24"/>
      <c r="F188" s="24"/>
      <c r="G188" s="58">
        <v>88</v>
      </c>
      <c r="H188" s="120">
        <f>504+928+341</f>
        <v>1773</v>
      </c>
      <c r="I188" s="155" t="s">
        <v>340</v>
      </c>
    </row>
    <row r="189" spans="1:9" ht="14.25" customHeight="1">
      <c r="A189" s="26"/>
      <c r="B189" s="23" t="s">
        <v>262</v>
      </c>
      <c r="C189" s="30" t="s">
        <v>53</v>
      </c>
      <c r="D189" s="24">
        <v>0.31</v>
      </c>
      <c r="E189" s="24"/>
      <c r="F189" s="24"/>
      <c r="G189" s="58">
        <v>30</v>
      </c>
      <c r="H189" s="120">
        <f>111+293+108</f>
        <v>512</v>
      </c>
      <c r="I189" s="155" t="s">
        <v>337</v>
      </c>
    </row>
    <row r="190" spans="1:9" ht="24.75" customHeight="1">
      <c r="A190" s="26"/>
      <c r="B190" s="27" t="s">
        <v>338</v>
      </c>
      <c r="C190" s="56" t="s">
        <v>53</v>
      </c>
      <c r="D190" s="18">
        <v>0.04</v>
      </c>
      <c r="E190" s="18"/>
      <c r="F190" s="18"/>
      <c r="G190" s="70">
        <v>6</v>
      </c>
      <c r="H190" s="142">
        <f>30+62+23</f>
        <v>115</v>
      </c>
      <c r="I190" s="156" t="s">
        <v>339</v>
      </c>
    </row>
    <row r="191" spans="1:9" ht="14.25" customHeight="1">
      <c r="A191" s="26"/>
      <c r="B191" s="23" t="s">
        <v>359</v>
      </c>
      <c r="C191" s="30" t="s">
        <v>53</v>
      </c>
      <c r="D191" s="24">
        <f>3.95+1.7+0.3+0.1+1+0.9+0.2</f>
        <v>8.15</v>
      </c>
      <c r="E191" s="24"/>
      <c r="F191" s="24"/>
      <c r="G191" s="58">
        <v>1230</v>
      </c>
      <c r="H191" s="120">
        <f>4846+12261+4508</f>
        <v>21615</v>
      </c>
      <c r="I191" s="155" t="s">
        <v>360</v>
      </c>
    </row>
    <row r="192" spans="1:9" ht="14.25" customHeight="1">
      <c r="A192" s="26"/>
      <c r="B192" s="23" t="s">
        <v>417</v>
      </c>
      <c r="C192" s="30" t="s">
        <v>53</v>
      </c>
      <c r="D192" s="24">
        <v>0.396</v>
      </c>
      <c r="E192" s="24"/>
      <c r="F192" s="24"/>
      <c r="G192" s="58">
        <v>199</v>
      </c>
      <c r="H192" s="120">
        <f>177+2243+825</f>
        <v>3245</v>
      </c>
      <c r="I192" s="155" t="s">
        <v>418</v>
      </c>
    </row>
    <row r="193" spans="1:9" ht="14.25" customHeight="1">
      <c r="A193" s="26"/>
      <c r="B193" s="23" t="s">
        <v>426</v>
      </c>
      <c r="C193" s="30"/>
      <c r="D193" s="24"/>
      <c r="E193" s="24"/>
      <c r="F193" s="24"/>
      <c r="G193" s="58"/>
      <c r="H193" s="120">
        <v>7604.68</v>
      </c>
      <c r="I193" s="30"/>
    </row>
    <row r="194" spans="1:9" ht="14.25" customHeight="1">
      <c r="A194" s="26"/>
      <c r="B194" s="29" t="s">
        <v>228</v>
      </c>
      <c r="C194" s="30"/>
      <c r="D194" s="24"/>
      <c r="E194" s="24"/>
      <c r="F194" s="24"/>
      <c r="G194" s="36"/>
      <c r="H194" s="120">
        <v>0</v>
      </c>
      <c r="I194" s="23"/>
    </row>
    <row r="195" spans="1:9" ht="14.25" customHeight="1">
      <c r="A195" s="26"/>
      <c r="B195" s="29" t="s">
        <v>264</v>
      </c>
      <c r="C195" s="30" t="s">
        <v>80</v>
      </c>
      <c r="D195" s="24">
        <v>7</v>
      </c>
      <c r="E195" s="25"/>
      <c r="F195" s="25"/>
      <c r="G195" s="58"/>
      <c r="H195" s="120">
        <v>0</v>
      </c>
      <c r="I195" s="23"/>
    </row>
    <row r="196" spans="1:9" ht="14.25" customHeight="1">
      <c r="A196" s="26"/>
      <c r="B196" s="29" t="s">
        <v>266</v>
      </c>
      <c r="C196" s="30" t="s">
        <v>80</v>
      </c>
      <c r="D196" s="24">
        <v>1</v>
      </c>
      <c r="E196" s="25"/>
      <c r="F196" s="25"/>
      <c r="G196" s="58"/>
      <c r="H196" s="120">
        <v>0</v>
      </c>
      <c r="I196" s="23"/>
    </row>
    <row r="197" spans="1:9" ht="14.25" customHeight="1">
      <c r="A197" s="26"/>
      <c r="B197" s="29" t="s">
        <v>267</v>
      </c>
      <c r="C197" s="30" t="s">
        <v>80</v>
      </c>
      <c r="D197" s="24">
        <v>1</v>
      </c>
      <c r="E197" s="25"/>
      <c r="F197" s="25"/>
      <c r="G197" s="58"/>
      <c r="H197" s="120">
        <v>0</v>
      </c>
      <c r="I197" s="23"/>
    </row>
    <row r="198" spans="1:9" ht="14.25" customHeight="1">
      <c r="A198" s="26"/>
      <c r="B198" s="29" t="s">
        <v>268</v>
      </c>
      <c r="C198" s="30" t="s">
        <v>80</v>
      </c>
      <c r="D198" s="24">
        <v>1</v>
      </c>
      <c r="E198" s="25"/>
      <c r="F198" s="25"/>
      <c r="G198" s="58"/>
      <c r="H198" s="120">
        <v>0</v>
      </c>
      <c r="I198" s="23"/>
    </row>
    <row r="199" spans="1:9" ht="20.25" customHeight="1">
      <c r="A199" s="94"/>
      <c r="B199" s="91" t="s">
        <v>219</v>
      </c>
      <c r="C199" s="94"/>
      <c r="D199" s="94"/>
      <c r="E199" s="18"/>
      <c r="F199" s="18"/>
      <c r="G199" s="179">
        <f>G184+G186+G187+G188+G189+G190+G191+G192</f>
        <v>35416.78554000001</v>
      </c>
      <c r="H199" s="83">
        <f>H184+H185+H193</f>
        <v>527081.070583588</v>
      </c>
      <c r="I199" s="122"/>
    </row>
    <row r="200" spans="1:9" ht="15.75" customHeight="1">
      <c r="A200" s="419" t="s">
        <v>222</v>
      </c>
      <c r="B200" s="420"/>
      <c r="C200" s="420"/>
      <c r="D200" s="420"/>
      <c r="E200" s="420"/>
      <c r="F200" s="420"/>
      <c r="G200" s="420"/>
      <c r="H200" s="420"/>
      <c r="I200" s="23"/>
    </row>
    <row r="201" spans="1:9" ht="15.75" customHeight="1">
      <c r="A201" s="418" t="s">
        <v>21</v>
      </c>
      <c r="B201" s="410"/>
      <c r="C201" s="410"/>
      <c r="D201" s="410"/>
      <c r="E201" s="410"/>
      <c r="F201" s="410"/>
      <c r="G201" s="410"/>
      <c r="H201" s="410"/>
      <c r="I201" s="23"/>
    </row>
    <row r="202" spans="1:9" ht="18.75" customHeight="1">
      <c r="A202" s="22">
        <v>1</v>
      </c>
      <c r="B202" s="38" t="s">
        <v>430</v>
      </c>
      <c r="C202" s="25"/>
      <c r="D202" s="25"/>
      <c r="E202" s="25"/>
      <c r="F202" s="25"/>
      <c r="G202" s="36"/>
      <c r="H202" s="152">
        <v>247587</v>
      </c>
      <c r="I202" s="23"/>
    </row>
    <row r="203" spans="1:9" ht="25.5">
      <c r="A203" s="22"/>
      <c r="B203" s="73" t="s">
        <v>323</v>
      </c>
      <c r="D203" s="25"/>
      <c r="E203" s="25"/>
      <c r="F203" s="25"/>
      <c r="G203" s="58"/>
      <c r="H203" s="53"/>
      <c r="I203" s="23"/>
    </row>
    <row r="204" spans="1:9" ht="12.75">
      <c r="A204" s="22"/>
      <c r="B204" s="23" t="s">
        <v>415</v>
      </c>
      <c r="C204" s="25" t="s">
        <v>324</v>
      </c>
      <c r="D204" s="25">
        <v>500</v>
      </c>
      <c r="E204" s="25">
        <v>1</v>
      </c>
      <c r="F204" s="25">
        <v>0.3</v>
      </c>
      <c r="G204" s="107">
        <f>D204*E204*F204</f>
        <v>150</v>
      </c>
      <c r="H204" s="116">
        <f>96025.86/3435.49*G204</f>
        <v>4192.670914483815</v>
      </c>
      <c r="I204" s="23"/>
    </row>
    <row r="205" spans="1:9" ht="12.75">
      <c r="A205" s="22"/>
      <c r="B205" s="23" t="s">
        <v>300</v>
      </c>
      <c r="C205" s="25"/>
      <c r="D205" s="25">
        <v>756</v>
      </c>
      <c r="E205" s="25">
        <v>1</v>
      </c>
      <c r="F205" s="25">
        <v>0.4</v>
      </c>
      <c r="G205" s="107">
        <f aca="true" t="shared" si="10" ref="G205:G229">D205*E205*F205</f>
        <v>302.40000000000003</v>
      </c>
      <c r="H205" s="116">
        <f aca="true" t="shared" si="11" ref="H205:H229">96025.86/3435.49*G205</f>
        <v>8452.424563599372</v>
      </c>
      <c r="I205" s="23"/>
    </row>
    <row r="206" spans="1:9" ht="12.75">
      <c r="A206" s="22"/>
      <c r="B206" s="23" t="s">
        <v>301</v>
      </c>
      <c r="C206" s="25"/>
      <c r="D206" s="25">
        <v>80</v>
      </c>
      <c r="E206" s="25">
        <v>1</v>
      </c>
      <c r="F206" s="25">
        <v>0.4</v>
      </c>
      <c r="G206" s="107">
        <f t="shared" si="10"/>
        <v>32</v>
      </c>
      <c r="H206" s="116">
        <f t="shared" si="11"/>
        <v>894.4364617565471</v>
      </c>
      <c r="I206" s="23"/>
    </row>
    <row r="207" spans="1:9" ht="12.75">
      <c r="A207" s="22"/>
      <c r="B207" s="23" t="s">
        <v>302</v>
      </c>
      <c r="C207" s="25"/>
      <c r="D207" s="25">
        <v>956</v>
      </c>
      <c r="E207" s="25">
        <v>1</v>
      </c>
      <c r="F207" s="25">
        <v>0.3</v>
      </c>
      <c r="G207" s="107">
        <f t="shared" si="10"/>
        <v>286.8</v>
      </c>
      <c r="H207" s="116">
        <f t="shared" si="11"/>
        <v>8016.386788493054</v>
      </c>
      <c r="I207" s="23"/>
    </row>
    <row r="208" spans="1:9" ht="12.75">
      <c r="A208" s="22"/>
      <c r="B208" s="23" t="s">
        <v>303</v>
      </c>
      <c r="C208" s="25"/>
      <c r="D208" s="25">
        <v>956</v>
      </c>
      <c r="E208" s="25">
        <v>1</v>
      </c>
      <c r="F208" s="25">
        <v>0.2</v>
      </c>
      <c r="G208" s="107">
        <f t="shared" si="10"/>
        <v>191.20000000000002</v>
      </c>
      <c r="H208" s="116">
        <f t="shared" si="11"/>
        <v>5344.25785899537</v>
      </c>
      <c r="I208" s="23"/>
    </row>
    <row r="209" spans="1:9" ht="12.75">
      <c r="A209" s="22"/>
      <c r="B209" s="23" t="s">
        <v>304</v>
      </c>
      <c r="C209" s="25"/>
      <c r="D209" s="25"/>
      <c r="E209" s="25"/>
      <c r="F209" s="25"/>
      <c r="G209" s="107">
        <f t="shared" si="10"/>
        <v>0</v>
      </c>
      <c r="H209" s="116"/>
      <c r="I209" s="23"/>
    </row>
    <row r="210" spans="1:9" ht="12.75">
      <c r="A210" s="22"/>
      <c r="B210" s="29" t="s">
        <v>305</v>
      </c>
      <c r="C210" s="25"/>
      <c r="D210" s="25"/>
      <c r="E210" s="25"/>
      <c r="F210" s="25"/>
      <c r="G210" s="107">
        <f t="shared" si="10"/>
        <v>0</v>
      </c>
      <c r="H210" s="116"/>
      <c r="I210" s="23"/>
    </row>
    <row r="211" spans="1:9" ht="12.75">
      <c r="A211" s="22"/>
      <c r="B211" s="23" t="s">
        <v>306</v>
      </c>
      <c r="C211" s="25" t="s">
        <v>325</v>
      </c>
      <c r="D211" s="25">
        <v>243</v>
      </c>
      <c r="E211" s="25">
        <v>2</v>
      </c>
      <c r="F211" s="25">
        <v>0.1</v>
      </c>
      <c r="G211" s="107">
        <f t="shared" si="10"/>
        <v>48.6</v>
      </c>
      <c r="H211" s="116">
        <f t="shared" si="11"/>
        <v>1358.425376292756</v>
      </c>
      <c r="I211" s="23"/>
    </row>
    <row r="212" spans="1:9" ht="12.75">
      <c r="A212" s="22"/>
      <c r="B212" s="23" t="s">
        <v>307</v>
      </c>
      <c r="C212" s="25"/>
      <c r="D212" s="25">
        <v>243</v>
      </c>
      <c r="E212" s="25">
        <v>2</v>
      </c>
      <c r="F212" s="25">
        <v>0.2</v>
      </c>
      <c r="G212" s="107">
        <f t="shared" si="10"/>
        <v>97.2</v>
      </c>
      <c r="H212" s="116">
        <f t="shared" si="11"/>
        <v>2716.850752585512</v>
      </c>
      <c r="I212" s="23"/>
    </row>
    <row r="213" spans="1:9" ht="12.75">
      <c r="A213" s="22"/>
      <c r="B213" s="23" t="s">
        <v>308</v>
      </c>
      <c r="C213" s="25"/>
      <c r="D213" s="25">
        <v>243</v>
      </c>
      <c r="E213" s="25">
        <v>1</v>
      </c>
      <c r="F213" s="25">
        <v>0.1</v>
      </c>
      <c r="G213" s="107">
        <f t="shared" si="10"/>
        <v>24.3</v>
      </c>
      <c r="H213" s="116">
        <f t="shared" si="11"/>
        <v>679.212688146378</v>
      </c>
      <c r="I213" s="23"/>
    </row>
    <row r="214" spans="1:9" ht="12.75">
      <c r="A214" s="22"/>
      <c r="B214" s="29" t="s">
        <v>309</v>
      </c>
      <c r="C214" s="25"/>
      <c r="D214" s="25"/>
      <c r="E214" s="25"/>
      <c r="F214" s="25"/>
      <c r="G214" s="107">
        <f t="shared" si="10"/>
        <v>0</v>
      </c>
      <c r="H214" s="116"/>
      <c r="I214" s="23"/>
    </row>
    <row r="215" spans="1:9" ht="12.75">
      <c r="A215" s="22"/>
      <c r="B215" s="23" t="s">
        <v>310</v>
      </c>
      <c r="C215" s="25" t="s">
        <v>325</v>
      </c>
      <c r="D215" s="25">
        <v>725</v>
      </c>
      <c r="E215" s="25">
        <v>2</v>
      </c>
      <c r="F215" s="25">
        <v>0.15</v>
      </c>
      <c r="G215" s="107">
        <f t="shared" si="10"/>
        <v>217.5</v>
      </c>
      <c r="H215" s="116">
        <f t="shared" si="11"/>
        <v>6079.372826001531</v>
      </c>
      <c r="I215" s="23"/>
    </row>
    <row r="216" spans="1:9" ht="12.75">
      <c r="A216" s="22"/>
      <c r="B216" s="23" t="s">
        <v>311</v>
      </c>
      <c r="C216" s="25"/>
      <c r="D216" s="25">
        <v>725</v>
      </c>
      <c r="E216" s="25">
        <v>2</v>
      </c>
      <c r="F216" s="25">
        <v>0.6</v>
      </c>
      <c r="G216" s="107">
        <f t="shared" si="10"/>
        <v>870</v>
      </c>
      <c r="H216" s="116">
        <f t="shared" si="11"/>
        <v>24317.491304006126</v>
      </c>
      <c r="I216" s="23"/>
    </row>
    <row r="217" spans="1:9" ht="12.75">
      <c r="A217" s="22"/>
      <c r="B217" s="23" t="s">
        <v>312</v>
      </c>
      <c r="C217" s="25"/>
      <c r="D217" s="25"/>
      <c r="E217" s="25"/>
      <c r="F217" s="25"/>
      <c r="G217" s="107">
        <f t="shared" si="10"/>
        <v>0</v>
      </c>
      <c r="H217" s="116"/>
      <c r="I217" s="23"/>
    </row>
    <row r="218" spans="1:9" ht="12.75">
      <c r="A218" s="22"/>
      <c r="B218" s="23" t="s">
        <v>308</v>
      </c>
      <c r="C218" s="25"/>
      <c r="D218" s="25">
        <v>725</v>
      </c>
      <c r="E218" s="25">
        <v>1</v>
      </c>
      <c r="F218" s="25">
        <v>0.1</v>
      </c>
      <c r="G218" s="107">
        <f t="shared" si="10"/>
        <v>72.5</v>
      </c>
      <c r="H218" s="116">
        <f t="shared" si="11"/>
        <v>2026.457608667177</v>
      </c>
      <c r="I218" s="23"/>
    </row>
    <row r="219" spans="1:9" ht="12.75">
      <c r="A219" s="22"/>
      <c r="B219" s="29" t="s">
        <v>313</v>
      </c>
      <c r="C219" s="25"/>
      <c r="D219" s="25"/>
      <c r="E219" s="25"/>
      <c r="F219" s="25"/>
      <c r="G219" s="107">
        <f t="shared" si="10"/>
        <v>0</v>
      </c>
      <c r="H219" s="116">
        <f t="shared" si="11"/>
        <v>0</v>
      </c>
      <c r="I219" s="23"/>
    </row>
    <row r="220" spans="1:9" ht="12.75">
      <c r="A220" s="22"/>
      <c r="B220" s="23" t="s">
        <v>314</v>
      </c>
      <c r="C220" s="25" t="s">
        <v>326</v>
      </c>
      <c r="D220" s="25">
        <v>35</v>
      </c>
      <c r="E220" s="25">
        <v>1</v>
      </c>
      <c r="F220" s="25">
        <v>2.75</v>
      </c>
      <c r="G220" s="107">
        <f t="shared" si="10"/>
        <v>96.25</v>
      </c>
      <c r="H220" s="116">
        <f t="shared" si="11"/>
        <v>2690.2971701271144</v>
      </c>
      <c r="I220" s="23"/>
    </row>
    <row r="221" spans="1:9" ht="12.75">
      <c r="A221" s="22"/>
      <c r="B221" s="23" t="s">
        <v>315</v>
      </c>
      <c r="C221" s="25"/>
      <c r="D221" s="25"/>
      <c r="E221" s="25"/>
      <c r="F221" s="25"/>
      <c r="G221" s="107">
        <f t="shared" si="10"/>
        <v>0</v>
      </c>
      <c r="H221" s="116"/>
      <c r="I221" s="23"/>
    </row>
    <row r="222" spans="1:9" ht="12.75">
      <c r="A222" s="22"/>
      <c r="B222" s="29" t="s">
        <v>316</v>
      </c>
      <c r="C222" s="25"/>
      <c r="D222" s="25"/>
      <c r="E222" s="25"/>
      <c r="F222" s="25"/>
      <c r="G222" s="107">
        <f t="shared" si="10"/>
        <v>0</v>
      </c>
      <c r="H222" s="116"/>
      <c r="I222" s="23"/>
    </row>
    <row r="223" spans="1:9" ht="12.75">
      <c r="A223" s="22"/>
      <c r="B223" s="23" t="s">
        <v>314</v>
      </c>
      <c r="C223" s="25" t="s">
        <v>327</v>
      </c>
      <c r="D223" s="25">
        <v>31</v>
      </c>
      <c r="E223" s="25">
        <v>10</v>
      </c>
      <c r="F223" s="25">
        <v>0.49</v>
      </c>
      <c r="G223" s="107">
        <f t="shared" si="10"/>
        <v>151.9</v>
      </c>
      <c r="H223" s="116">
        <f t="shared" si="11"/>
        <v>4245.77807940061</v>
      </c>
      <c r="I223" s="23"/>
    </row>
    <row r="224" spans="1:9" ht="12.75">
      <c r="A224" s="22"/>
      <c r="B224" s="23" t="s">
        <v>317</v>
      </c>
      <c r="C224" s="25"/>
      <c r="D224" s="25"/>
      <c r="E224" s="25"/>
      <c r="F224" s="25"/>
      <c r="G224" s="107">
        <f t="shared" si="10"/>
        <v>0</v>
      </c>
      <c r="H224" s="116"/>
      <c r="I224" s="23"/>
    </row>
    <row r="225" spans="1:9" ht="12.75">
      <c r="A225" s="22"/>
      <c r="B225" s="23" t="s">
        <v>318</v>
      </c>
      <c r="C225" s="25"/>
      <c r="D225" s="25"/>
      <c r="E225" s="25"/>
      <c r="F225" s="25"/>
      <c r="G225" s="107">
        <f t="shared" si="10"/>
        <v>0</v>
      </c>
      <c r="H225" s="116"/>
      <c r="I225" s="23"/>
    </row>
    <row r="226" spans="1:9" ht="12.75">
      <c r="A226" s="22"/>
      <c r="B226" s="23" t="s">
        <v>319</v>
      </c>
      <c r="C226" s="25"/>
      <c r="D226" s="25"/>
      <c r="E226" s="25"/>
      <c r="F226" s="25"/>
      <c r="G226" s="107">
        <f t="shared" si="10"/>
        <v>0</v>
      </c>
      <c r="H226" s="116"/>
      <c r="I226" s="23"/>
    </row>
    <row r="227" spans="1:9" ht="12.75">
      <c r="A227" s="22"/>
      <c r="B227" s="29" t="s">
        <v>320</v>
      </c>
      <c r="C227" s="25" t="s">
        <v>328</v>
      </c>
      <c r="D227" s="25">
        <v>31</v>
      </c>
      <c r="E227" s="25">
        <v>10</v>
      </c>
      <c r="F227" s="25">
        <v>0.42</v>
      </c>
      <c r="G227" s="107">
        <f t="shared" si="10"/>
        <v>130.2</v>
      </c>
      <c r="H227" s="116">
        <f t="shared" si="11"/>
        <v>3639.238353771951</v>
      </c>
      <c r="I227" s="23"/>
    </row>
    <row r="228" spans="1:9" ht="12.75">
      <c r="A228" s="22"/>
      <c r="B228" s="23" t="s">
        <v>314</v>
      </c>
      <c r="C228" s="25"/>
      <c r="D228" s="25"/>
      <c r="E228" s="25"/>
      <c r="F228" s="25"/>
      <c r="G228" s="107">
        <f t="shared" si="10"/>
        <v>0</v>
      </c>
      <c r="H228" s="116"/>
      <c r="I228" s="23"/>
    </row>
    <row r="229" spans="1:9" ht="12.75">
      <c r="A229" s="22"/>
      <c r="B229" s="29" t="s">
        <v>321</v>
      </c>
      <c r="C229" s="25" t="s">
        <v>329</v>
      </c>
      <c r="D229" s="25">
        <v>35.4</v>
      </c>
      <c r="E229" s="25">
        <v>80</v>
      </c>
      <c r="F229" s="25">
        <v>0.27</v>
      </c>
      <c r="G229" s="107">
        <f t="shared" si="10"/>
        <v>764.6400000000001</v>
      </c>
      <c r="H229" s="116">
        <f t="shared" si="11"/>
        <v>21372.559253672698</v>
      </c>
      <c r="I229" s="23"/>
    </row>
    <row r="230" spans="1:9" ht="12.75">
      <c r="A230" s="22"/>
      <c r="B230" s="29" t="s">
        <v>322</v>
      </c>
      <c r="C230" s="25"/>
      <c r="D230" s="25"/>
      <c r="E230" s="25"/>
      <c r="F230" s="25"/>
      <c r="G230" s="58"/>
      <c r="H230" s="116"/>
      <c r="I230" s="23"/>
    </row>
    <row r="231" spans="1:9" ht="12.75">
      <c r="A231" s="22"/>
      <c r="B231" s="29" t="s">
        <v>420</v>
      </c>
      <c r="C231" s="25"/>
      <c r="D231" s="25"/>
      <c r="E231" s="25"/>
      <c r="F231" s="25"/>
      <c r="G231" s="36">
        <f>SUM(G204:G230)</f>
        <v>3435.49</v>
      </c>
      <c r="H231" s="145">
        <f>SUM(H204:H230)</f>
        <v>96025.86000000002</v>
      </c>
      <c r="I231" s="23"/>
    </row>
    <row r="232" spans="1:9" ht="21" customHeight="1">
      <c r="A232" s="22"/>
      <c r="B232" s="91" t="s">
        <v>342</v>
      </c>
      <c r="C232" s="69"/>
      <c r="D232" s="69"/>
      <c r="E232" s="18"/>
      <c r="F232" s="18"/>
      <c r="G232" s="92">
        <v>148.78</v>
      </c>
      <c r="H232" s="92">
        <f>(5026+1288+473.6)</f>
        <v>6787.6</v>
      </c>
      <c r="I232" s="157" t="s">
        <v>442</v>
      </c>
    </row>
    <row r="233" spans="1:9" ht="21" customHeight="1">
      <c r="A233" s="22"/>
      <c r="B233" s="91" t="s">
        <v>219</v>
      </c>
      <c r="C233" s="69"/>
      <c r="D233" s="69"/>
      <c r="E233" s="18"/>
      <c r="F233" s="18"/>
      <c r="G233" s="92">
        <f>G231+G232</f>
        <v>3584.27</v>
      </c>
      <c r="H233" s="121">
        <f>H202+H231+H232</f>
        <v>350400.45999999996</v>
      </c>
      <c r="I233" s="158"/>
    </row>
    <row r="234" spans="1:9" ht="15.75" customHeight="1">
      <c r="A234" s="403" t="s">
        <v>123</v>
      </c>
      <c r="B234" s="404"/>
      <c r="C234" s="404"/>
      <c r="D234" s="404"/>
      <c r="E234" s="404"/>
      <c r="F234" s="404"/>
      <c r="G234" s="404"/>
      <c r="H234" s="404"/>
      <c r="I234" s="158"/>
    </row>
    <row r="235" spans="1:9" ht="15.75" customHeight="1">
      <c r="A235" s="418" t="s">
        <v>23</v>
      </c>
      <c r="B235" s="410"/>
      <c r="C235" s="410"/>
      <c r="D235" s="410"/>
      <c r="E235" s="410"/>
      <c r="F235" s="410"/>
      <c r="G235" s="410"/>
      <c r="H235" s="410"/>
      <c r="I235" s="158"/>
    </row>
    <row r="236" spans="1:9" ht="12.75">
      <c r="A236" s="25">
        <v>1</v>
      </c>
      <c r="B236" s="52" t="s">
        <v>155</v>
      </c>
      <c r="C236" s="25" t="s">
        <v>73</v>
      </c>
      <c r="D236" s="25">
        <v>29</v>
      </c>
      <c r="E236" s="25"/>
      <c r="F236" s="25"/>
      <c r="G236" s="25"/>
      <c r="H236" s="53"/>
      <c r="I236" s="158"/>
    </row>
    <row r="237" spans="1:9" ht="12.75">
      <c r="A237" s="25">
        <v>2</v>
      </c>
      <c r="B237" s="52" t="s">
        <v>156</v>
      </c>
      <c r="C237" s="25" t="s">
        <v>73</v>
      </c>
      <c r="D237" s="53">
        <v>29</v>
      </c>
      <c r="E237" s="25"/>
      <c r="F237" s="25"/>
      <c r="G237" s="25"/>
      <c r="H237" s="53"/>
      <c r="I237" s="158"/>
    </row>
    <row r="238" spans="1:9" ht="12.75">
      <c r="A238" s="25">
        <v>3</v>
      </c>
      <c r="B238" s="52" t="s">
        <v>157</v>
      </c>
      <c r="C238" s="25" t="s">
        <v>80</v>
      </c>
      <c r="D238" s="53">
        <v>6</v>
      </c>
      <c r="E238" s="25"/>
      <c r="F238" s="25"/>
      <c r="G238" s="25"/>
      <c r="H238" s="53"/>
      <c r="I238" s="158"/>
    </row>
    <row r="239" spans="1:9" ht="12.75">
      <c r="A239" s="25">
        <v>4</v>
      </c>
      <c r="B239" s="52" t="s">
        <v>158</v>
      </c>
      <c r="C239" s="25" t="s">
        <v>73</v>
      </c>
      <c r="D239" s="53">
        <v>313.68</v>
      </c>
      <c r="E239" s="25"/>
      <c r="F239" s="25"/>
      <c r="G239" s="25"/>
      <c r="H239" s="53"/>
      <c r="I239" s="158"/>
    </row>
    <row r="240" spans="1:9" ht="12.75">
      <c r="A240" s="25">
        <v>5</v>
      </c>
      <c r="B240" s="52" t="s">
        <v>159</v>
      </c>
      <c r="C240" s="25" t="s">
        <v>73</v>
      </c>
      <c r="D240" s="53">
        <v>279.56</v>
      </c>
      <c r="E240" s="25"/>
      <c r="F240" s="25"/>
      <c r="G240" s="25"/>
      <c r="H240" s="53"/>
      <c r="I240" s="158"/>
    </row>
    <row r="241" spans="1:9" ht="12.75">
      <c r="A241" s="25">
        <v>6</v>
      </c>
      <c r="B241" s="52" t="s">
        <v>160</v>
      </c>
      <c r="C241" s="25" t="s">
        <v>73</v>
      </c>
      <c r="D241" s="53">
        <v>79</v>
      </c>
      <c r="E241" s="25"/>
      <c r="F241" s="25"/>
      <c r="G241" s="25"/>
      <c r="H241" s="53"/>
      <c r="I241" s="158"/>
    </row>
    <row r="242" spans="1:9" ht="12.75">
      <c r="A242" s="25">
        <v>7</v>
      </c>
      <c r="B242" s="52" t="s">
        <v>161</v>
      </c>
      <c r="C242" s="25" t="s">
        <v>162</v>
      </c>
      <c r="D242" s="53">
        <v>200</v>
      </c>
      <c r="E242" s="25"/>
      <c r="F242" s="25"/>
      <c r="G242" s="25"/>
      <c r="H242" s="53"/>
      <c r="I242" s="158"/>
    </row>
    <row r="243" spans="1:9" ht="12.75">
      <c r="A243" s="25">
        <v>8</v>
      </c>
      <c r="B243" s="52" t="s">
        <v>163</v>
      </c>
      <c r="C243" s="25" t="s">
        <v>73</v>
      </c>
      <c r="D243" s="53">
        <v>21.36</v>
      </c>
      <c r="E243" s="25"/>
      <c r="F243" s="25"/>
      <c r="G243" s="25"/>
      <c r="H243" s="53"/>
      <c r="I243" s="158"/>
    </row>
    <row r="244" spans="1:9" ht="12.75">
      <c r="A244" s="25">
        <v>9</v>
      </c>
      <c r="B244" s="52" t="s">
        <v>164</v>
      </c>
      <c r="C244" s="25"/>
      <c r="D244" s="53"/>
      <c r="E244" s="25"/>
      <c r="F244" s="25"/>
      <c r="G244" s="25"/>
      <c r="H244" s="53"/>
      <c r="I244" s="158"/>
    </row>
    <row r="245" spans="1:9" ht="12.75">
      <c r="A245" s="25">
        <v>10</v>
      </c>
      <c r="B245" s="52" t="s">
        <v>165</v>
      </c>
      <c r="C245" s="25"/>
      <c r="D245" s="53"/>
      <c r="E245" s="25"/>
      <c r="F245" s="25"/>
      <c r="G245" s="25"/>
      <c r="H245" s="53"/>
      <c r="I245" s="158"/>
    </row>
    <row r="246" spans="1:9" ht="12.75">
      <c r="A246" s="25">
        <v>11</v>
      </c>
      <c r="B246" s="52" t="s">
        <v>166</v>
      </c>
      <c r="C246" s="25"/>
      <c r="D246" s="53"/>
      <c r="E246" s="25"/>
      <c r="F246" s="25"/>
      <c r="G246" s="25"/>
      <c r="H246" s="53"/>
      <c r="I246" s="158"/>
    </row>
    <row r="247" spans="1:9" ht="15.75" customHeight="1">
      <c r="A247" s="69">
        <v>12</v>
      </c>
      <c r="B247" s="95" t="s">
        <v>168</v>
      </c>
      <c r="C247" s="69"/>
      <c r="D247" s="96"/>
      <c r="E247" s="56"/>
      <c r="F247" s="18"/>
      <c r="G247" s="92"/>
      <c r="H247" s="92">
        <v>63750</v>
      </c>
      <c r="I247" s="159"/>
    </row>
    <row r="248" spans="1:9" ht="12.75">
      <c r="A248" s="69"/>
      <c r="B248" s="95" t="s">
        <v>167</v>
      </c>
      <c r="C248" s="69"/>
      <c r="D248" s="96"/>
      <c r="E248" s="56"/>
      <c r="F248" s="18"/>
      <c r="G248" s="92"/>
      <c r="H248" s="92"/>
      <c r="I248" s="159"/>
    </row>
    <row r="249" spans="1:9" ht="16.5" customHeight="1">
      <c r="A249" s="69"/>
      <c r="B249" s="95" t="s">
        <v>343</v>
      </c>
      <c r="C249" s="69"/>
      <c r="D249" s="96"/>
      <c r="E249" s="56"/>
      <c r="F249" s="18"/>
      <c r="G249" s="92"/>
      <c r="H249" s="92">
        <v>0</v>
      </c>
      <c r="I249" s="79" t="s">
        <v>443</v>
      </c>
    </row>
    <row r="250" spans="1:20" ht="21.75" customHeight="1">
      <c r="A250" s="74"/>
      <c r="B250" s="95" t="s">
        <v>219</v>
      </c>
      <c r="C250" s="69"/>
      <c r="D250" s="96"/>
      <c r="E250" s="56"/>
      <c r="F250" s="18"/>
      <c r="G250" s="92">
        <f>1996*2</f>
        <v>3992</v>
      </c>
      <c r="H250" s="83">
        <f>SUM(H247:H247)</f>
        <v>63750</v>
      </c>
      <c r="I250" s="158"/>
      <c r="J250" s="404"/>
      <c r="K250" s="404"/>
      <c r="L250" s="404"/>
      <c r="M250" s="404"/>
      <c r="N250" s="404"/>
      <c r="O250" s="404"/>
      <c r="P250" s="404"/>
      <c r="Q250" s="404"/>
      <c r="R250" s="35"/>
      <c r="S250" s="35"/>
      <c r="T250" s="35"/>
    </row>
    <row r="251" spans="1:9" ht="15.75" customHeight="1">
      <c r="A251" s="403" t="s">
        <v>124</v>
      </c>
      <c r="B251" s="404"/>
      <c r="C251" s="404"/>
      <c r="D251" s="404"/>
      <c r="E251" s="404"/>
      <c r="F251" s="404"/>
      <c r="G251" s="404"/>
      <c r="H251" s="404"/>
      <c r="I251" s="158"/>
    </row>
    <row r="252" spans="1:9" ht="20.25" customHeight="1">
      <c r="A252" s="403" t="s">
        <v>22</v>
      </c>
      <c r="B252" s="404"/>
      <c r="C252" s="404"/>
      <c r="D252" s="404"/>
      <c r="E252" s="404"/>
      <c r="F252" s="404"/>
      <c r="G252" s="404"/>
      <c r="H252" s="404"/>
      <c r="I252" s="158"/>
    </row>
    <row r="253" spans="1:9" ht="20.25" customHeight="1">
      <c r="A253" s="26">
        <v>1</v>
      </c>
      <c r="B253" s="29" t="s">
        <v>169</v>
      </c>
      <c r="C253" s="26"/>
      <c r="D253" s="26"/>
      <c r="E253" s="42"/>
      <c r="F253" s="25"/>
      <c r="G253" s="25"/>
      <c r="H253" s="53"/>
      <c r="I253" s="153"/>
    </row>
    <row r="254" spans="1:9" ht="20.25" customHeight="1">
      <c r="A254" s="26"/>
      <c r="B254" s="23" t="s">
        <v>171</v>
      </c>
      <c r="C254" s="26" t="s">
        <v>53</v>
      </c>
      <c r="D254" s="26">
        <v>1583.46</v>
      </c>
      <c r="E254" s="26">
        <v>20</v>
      </c>
      <c r="F254" s="26">
        <v>0.091</v>
      </c>
      <c r="G254" s="138">
        <f>D254*E254*F254</f>
        <v>2881.8972</v>
      </c>
      <c r="H254" s="116">
        <f>123461.82/8882.9559*G254</f>
        <v>40054.71572417735</v>
      </c>
      <c r="I254" s="153"/>
    </row>
    <row r="255" spans="1:9" ht="20.25" customHeight="1">
      <c r="A255" s="26"/>
      <c r="B255" s="23" t="s">
        <v>172</v>
      </c>
      <c r="C255" s="26" t="s">
        <v>73</v>
      </c>
      <c r="D255" s="26">
        <v>20835</v>
      </c>
      <c r="E255" s="26">
        <v>1</v>
      </c>
      <c r="F255" s="26">
        <v>0.043</v>
      </c>
      <c r="G255" s="138">
        <f>D255*E255*F255</f>
        <v>895.905</v>
      </c>
      <c r="H255" s="116">
        <f>123461.82/8882.9559*G255</f>
        <v>12451.943147336799</v>
      </c>
      <c r="I255" s="153"/>
    </row>
    <row r="256" spans="1:9" ht="20.25" customHeight="1">
      <c r="A256" s="26"/>
      <c r="B256" s="23" t="s">
        <v>170</v>
      </c>
      <c r="C256" s="26" t="s">
        <v>135</v>
      </c>
      <c r="D256" s="26">
        <v>2</v>
      </c>
      <c r="E256" s="26">
        <v>8</v>
      </c>
      <c r="F256" s="26">
        <v>1.63</v>
      </c>
      <c r="G256" s="138">
        <f>D256*E256*F256</f>
        <v>26.08</v>
      </c>
      <c r="H256" s="116">
        <f>123461.82/8882.9559*G256</f>
        <v>362.4789205133845</v>
      </c>
      <c r="I256" s="153"/>
    </row>
    <row r="257" spans="1:9" ht="16.5" customHeight="1">
      <c r="A257" s="26"/>
      <c r="B257" s="29" t="s">
        <v>413</v>
      </c>
      <c r="C257" s="26"/>
      <c r="D257" s="26"/>
      <c r="E257" s="26"/>
      <c r="F257" s="26"/>
      <c r="G257" s="141">
        <f>SUM(G254:G256)</f>
        <v>3803.8822</v>
      </c>
      <c r="H257" s="145">
        <f>SUM(H254:H256)</f>
        <v>52869.13779202754</v>
      </c>
      <c r="I257" s="153"/>
    </row>
    <row r="258" spans="1:9" ht="14.25" customHeight="1">
      <c r="A258" s="26"/>
      <c r="B258" s="91" t="s">
        <v>272</v>
      </c>
      <c r="C258" s="42"/>
      <c r="D258" s="42"/>
      <c r="E258" s="139"/>
      <c r="F258" s="139"/>
      <c r="G258" s="140"/>
      <c r="H258" s="119"/>
      <c r="I258" s="160" t="s">
        <v>441</v>
      </c>
    </row>
    <row r="259" spans="1:9" ht="12.75">
      <c r="A259" s="403" t="s">
        <v>125</v>
      </c>
      <c r="B259" s="404"/>
      <c r="C259" s="404"/>
      <c r="D259" s="404"/>
      <c r="E259" s="404"/>
      <c r="F259" s="404"/>
      <c r="G259" s="404"/>
      <c r="H259" s="404"/>
      <c r="I259" s="158"/>
    </row>
    <row r="260" spans="1:9" ht="12.75">
      <c r="A260" s="403" t="s">
        <v>24</v>
      </c>
      <c r="B260" s="404"/>
      <c r="C260" s="404"/>
      <c r="D260" s="404"/>
      <c r="E260" s="404"/>
      <c r="F260" s="404"/>
      <c r="G260" s="404"/>
      <c r="H260" s="404"/>
      <c r="I260" s="158"/>
    </row>
    <row r="261" spans="1:9" ht="12.75">
      <c r="A261" s="26">
        <v>1</v>
      </c>
      <c r="B261" s="29" t="s">
        <v>173</v>
      </c>
      <c r="C261" s="23"/>
      <c r="D261" s="26"/>
      <c r="E261" s="42"/>
      <c r="F261" s="25"/>
      <c r="G261" s="25"/>
      <c r="H261" s="53"/>
      <c r="I261" s="158"/>
    </row>
    <row r="262" spans="1:9" ht="12.75">
      <c r="A262" s="26"/>
      <c r="B262" s="23" t="s">
        <v>174</v>
      </c>
      <c r="C262" s="26" t="s">
        <v>53</v>
      </c>
      <c r="D262" s="26">
        <v>28.73</v>
      </c>
      <c r="E262" s="108">
        <v>72</v>
      </c>
      <c r="F262" s="108">
        <v>0.162</v>
      </c>
      <c r="G262" s="138">
        <f>D262*E262*F262</f>
        <v>335.10672</v>
      </c>
      <c r="H262" s="116">
        <f aca="true" t="shared" si="12" ref="H262:H270">123461.82/8882.9559*G262</f>
        <v>4657.5583635882285</v>
      </c>
      <c r="I262" s="158"/>
    </row>
    <row r="263" spans="1:9" ht="12.75">
      <c r="A263" s="26"/>
      <c r="B263" s="23" t="s">
        <v>175</v>
      </c>
      <c r="C263" s="26" t="s">
        <v>53</v>
      </c>
      <c r="D263" s="26">
        <v>2.5</v>
      </c>
      <c r="E263" s="108">
        <v>3</v>
      </c>
      <c r="F263" s="108">
        <v>6.25</v>
      </c>
      <c r="G263" s="138">
        <f aca="true" t="shared" si="13" ref="G263:G270">D263*E263*F263</f>
        <v>46.875</v>
      </c>
      <c r="H263" s="116">
        <f t="shared" si="12"/>
        <v>651.5030444426725</v>
      </c>
      <c r="I263" s="158"/>
    </row>
    <row r="264" spans="1:9" ht="12.75">
      <c r="A264" s="26"/>
      <c r="B264" s="23" t="s">
        <v>176</v>
      </c>
      <c r="C264" s="26" t="s">
        <v>53</v>
      </c>
      <c r="D264" s="26">
        <v>28.73</v>
      </c>
      <c r="E264" s="108">
        <v>36</v>
      </c>
      <c r="F264" s="108">
        <v>0.214</v>
      </c>
      <c r="G264" s="138">
        <f t="shared" si="13"/>
        <v>221.33592</v>
      </c>
      <c r="H264" s="116">
        <f t="shared" si="12"/>
        <v>3076.2885487897556</v>
      </c>
      <c r="I264" s="158"/>
    </row>
    <row r="265" spans="1:9" ht="12.75">
      <c r="A265" s="26"/>
      <c r="B265" s="23" t="s">
        <v>177</v>
      </c>
      <c r="C265" s="26" t="s">
        <v>53</v>
      </c>
      <c r="D265" s="26">
        <v>28.73</v>
      </c>
      <c r="E265" s="108">
        <v>24</v>
      </c>
      <c r="F265" s="108">
        <v>1.43</v>
      </c>
      <c r="G265" s="138">
        <f t="shared" si="13"/>
        <v>986.0135999999999</v>
      </c>
      <c r="H265" s="116">
        <f t="shared" si="12"/>
        <v>13704.338394920094</v>
      </c>
      <c r="I265" s="158"/>
    </row>
    <row r="266" spans="1:9" ht="12.75">
      <c r="A266" s="26"/>
      <c r="B266" s="23" t="s">
        <v>178</v>
      </c>
      <c r="C266" s="26" t="s">
        <v>73</v>
      </c>
      <c r="D266" s="26">
        <v>2032</v>
      </c>
      <c r="E266" s="108">
        <v>6</v>
      </c>
      <c r="F266" s="108">
        <v>0.05</v>
      </c>
      <c r="G266" s="138">
        <f t="shared" si="13"/>
        <v>609.6</v>
      </c>
      <c r="H266" s="116">
        <f t="shared" si="12"/>
        <v>8472.666792368067</v>
      </c>
      <c r="I266" s="158"/>
    </row>
    <row r="267" spans="1:9" ht="12.75">
      <c r="A267" s="26"/>
      <c r="B267" s="23" t="s">
        <v>170</v>
      </c>
      <c r="C267" s="26" t="s">
        <v>179</v>
      </c>
      <c r="D267" s="26">
        <v>3</v>
      </c>
      <c r="E267" s="108">
        <v>6</v>
      </c>
      <c r="F267" s="108">
        <v>1.63</v>
      </c>
      <c r="G267" s="138">
        <f t="shared" si="13"/>
        <v>29.339999999999996</v>
      </c>
      <c r="H267" s="116">
        <f t="shared" si="12"/>
        <v>407.7887855775575</v>
      </c>
      <c r="I267" s="158"/>
    </row>
    <row r="268" spans="1:9" ht="12.75">
      <c r="A268" s="26"/>
      <c r="B268" s="23" t="s">
        <v>180</v>
      </c>
      <c r="C268" s="26" t="s">
        <v>53</v>
      </c>
      <c r="D268" s="26">
        <v>28.73</v>
      </c>
      <c r="E268" s="108">
        <v>24</v>
      </c>
      <c r="F268" s="108">
        <v>0.24</v>
      </c>
      <c r="G268" s="138">
        <f t="shared" si="13"/>
        <v>165.48479999999998</v>
      </c>
      <c r="H268" s="116">
        <f t="shared" si="12"/>
        <v>2300.0288215250507</v>
      </c>
      <c r="I268" s="158"/>
    </row>
    <row r="269" spans="1:9" ht="12.75">
      <c r="A269" s="26"/>
      <c r="B269" s="23" t="s">
        <v>181</v>
      </c>
      <c r="C269" s="26" t="s">
        <v>71</v>
      </c>
      <c r="D269" s="26">
        <v>6</v>
      </c>
      <c r="E269" s="108">
        <v>72</v>
      </c>
      <c r="F269" s="108">
        <v>0.125</v>
      </c>
      <c r="G269" s="138">
        <f t="shared" si="13"/>
        <v>54</v>
      </c>
      <c r="H269" s="116">
        <f t="shared" si="12"/>
        <v>750.5315071979587</v>
      </c>
      <c r="I269" s="158"/>
    </row>
    <row r="270" spans="1:9" ht="12.75">
      <c r="A270" s="26"/>
      <c r="B270" s="23" t="s">
        <v>128</v>
      </c>
      <c r="C270" s="26" t="s">
        <v>53</v>
      </c>
      <c r="D270" s="26">
        <v>6.21</v>
      </c>
      <c r="E270" s="108">
        <v>0</v>
      </c>
      <c r="F270" s="108">
        <v>0</v>
      </c>
      <c r="G270" s="138">
        <f t="shared" si="13"/>
        <v>0</v>
      </c>
      <c r="H270" s="116">
        <f t="shared" si="12"/>
        <v>0</v>
      </c>
      <c r="I270" s="158"/>
    </row>
    <row r="271" spans="1:9" ht="12.75">
      <c r="A271" s="26"/>
      <c r="B271" s="29" t="s">
        <v>413</v>
      </c>
      <c r="C271" s="30"/>
      <c r="D271" s="30"/>
      <c r="E271" s="30"/>
      <c r="F271" s="30"/>
      <c r="G271" s="141">
        <f>SUM(G262:G270)</f>
        <v>2447.75604</v>
      </c>
      <c r="H271" s="145">
        <f>SUM(H262:H270)</f>
        <v>34020.70425840939</v>
      </c>
      <c r="I271" s="158"/>
    </row>
    <row r="272" spans="1:9" ht="17.25" customHeight="1">
      <c r="A272" s="25"/>
      <c r="B272" s="38" t="s">
        <v>416</v>
      </c>
      <c r="C272" s="24" t="s">
        <v>53</v>
      </c>
      <c r="D272" s="24">
        <f>1.375</f>
        <v>1.375</v>
      </c>
      <c r="E272" s="56"/>
      <c r="F272" s="24"/>
      <c r="G272" s="24">
        <f>572</f>
        <v>572</v>
      </c>
      <c r="H272" s="24">
        <f>930+6516+2396</f>
        <v>9842</v>
      </c>
      <c r="I272" s="153" t="s">
        <v>424</v>
      </c>
    </row>
    <row r="273" spans="1:9" ht="17.25" customHeight="1">
      <c r="A273" s="25"/>
      <c r="B273" s="1" t="s">
        <v>425</v>
      </c>
      <c r="C273" s="26"/>
      <c r="D273" s="26"/>
      <c r="E273" s="56"/>
      <c r="F273" s="24"/>
      <c r="G273" s="24"/>
      <c r="H273" s="152">
        <v>11728</v>
      </c>
      <c r="I273" s="153" t="s">
        <v>63</v>
      </c>
    </row>
    <row r="274" spans="1:9" ht="12.75">
      <c r="A274" s="403" t="s">
        <v>126</v>
      </c>
      <c r="B274" s="404"/>
      <c r="C274" s="404"/>
      <c r="D274" s="404"/>
      <c r="E274" s="404"/>
      <c r="F274" s="404"/>
      <c r="G274" s="404"/>
      <c r="H274" s="404"/>
      <c r="I274" s="161"/>
    </row>
    <row r="275" spans="1:9" ht="12.75">
      <c r="A275" s="24">
        <v>2</v>
      </c>
      <c r="B275" s="29" t="s">
        <v>183</v>
      </c>
      <c r="C275" s="26"/>
      <c r="D275" s="26"/>
      <c r="E275" s="24"/>
      <c r="F275" s="24"/>
      <c r="G275" s="24"/>
      <c r="H275" s="114"/>
      <c r="I275" s="158"/>
    </row>
    <row r="276" spans="1:9" ht="12.75">
      <c r="A276" s="25"/>
      <c r="B276" s="23" t="s">
        <v>184</v>
      </c>
      <c r="C276" s="26" t="s">
        <v>53</v>
      </c>
      <c r="D276" s="26">
        <v>8.74</v>
      </c>
      <c r="E276" s="108">
        <v>72</v>
      </c>
      <c r="F276" s="108">
        <v>0.162</v>
      </c>
      <c r="G276" s="138">
        <f>D276*E276*F276</f>
        <v>101.94336</v>
      </c>
      <c r="H276" s="116">
        <f>123461.82/8882.9559*G276</f>
        <v>1416.8834005485944</v>
      </c>
      <c r="I276" s="158"/>
    </row>
    <row r="277" spans="1:9" ht="12.75">
      <c r="A277" s="25"/>
      <c r="B277" s="23" t="s">
        <v>180</v>
      </c>
      <c r="C277" s="26" t="s">
        <v>53</v>
      </c>
      <c r="D277" s="26">
        <v>8.74</v>
      </c>
      <c r="E277" s="108">
        <v>24</v>
      </c>
      <c r="F277" s="108">
        <v>0.24</v>
      </c>
      <c r="G277" s="138">
        <f>D277*E277*F277</f>
        <v>50.3424</v>
      </c>
      <c r="H277" s="116">
        <f>123461.82/8882.9559*G277</f>
        <v>699.6955064437502</v>
      </c>
      <c r="I277" s="158"/>
    </row>
    <row r="278" spans="1:10" ht="12.75">
      <c r="A278" s="25"/>
      <c r="B278" s="23" t="s">
        <v>185</v>
      </c>
      <c r="C278" s="26"/>
      <c r="D278" s="26"/>
      <c r="E278" s="108"/>
      <c r="F278" s="108"/>
      <c r="G278" s="138"/>
      <c r="H278" s="116">
        <f>123461.82/8882.9559*G278</f>
        <v>0</v>
      </c>
      <c r="I278" s="158"/>
      <c r="J278" s="97"/>
    </row>
    <row r="279" spans="1:9" ht="12.75">
      <c r="A279" s="25"/>
      <c r="B279" s="23" t="s">
        <v>186</v>
      </c>
      <c r="C279" s="26" t="s">
        <v>53</v>
      </c>
      <c r="D279" s="26">
        <v>8.74</v>
      </c>
      <c r="E279" s="108">
        <v>36</v>
      </c>
      <c r="F279" s="108">
        <v>0.214</v>
      </c>
      <c r="G279" s="138">
        <f>D279*E279*F279</f>
        <v>67.33296</v>
      </c>
      <c r="H279" s="116">
        <f>123461.82/8882.9559*G279</f>
        <v>935.842739868516</v>
      </c>
      <c r="I279" s="158"/>
    </row>
    <row r="280" spans="1:9" ht="12.75">
      <c r="A280" s="25"/>
      <c r="B280" s="23" t="s">
        <v>187</v>
      </c>
      <c r="C280" s="26" t="s">
        <v>53</v>
      </c>
      <c r="D280" s="26">
        <v>8.74</v>
      </c>
      <c r="E280" s="108">
        <v>12</v>
      </c>
      <c r="F280" s="108">
        <v>1.43</v>
      </c>
      <c r="G280" s="138">
        <f>D280*E280*F280</f>
        <v>149.9784</v>
      </c>
      <c r="H280" s="116">
        <f>123461.82/8882.9559*G280</f>
        <v>2084.509529613673</v>
      </c>
      <c r="I280" s="158"/>
    </row>
    <row r="281" spans="1:9" ht="12.75">
      <c r="A281" s="25"/>
      <c r="B281" s="29" t="s">
        <v>413</v>
      </c>
      <c r="C281" s="26"/>
      <c r="D281" s="26"/>
      <c r="E281" s="108"/>
      <c r="F281" s="108"/>
      <c r="G281" s="141">
        <f>SUM(G276:G280)</f>
        <v>369.59712</v>
      </c>
      <c r="H281" s="145">
        <f>SUM(H276:H280)</f>
        <v>5136.931176474534</v>
      </c>
      <c r="I281" s="158"/>
    </row>
    <row r="282" spans="1:9" ht="15.75" customHeight="1">
      <c r="A282" s="25"/>
      <c r="B282" s="29" t="s">
        <v>270</v>
      </c>
      <c r="C282" s="26" t="s">
        <v>53</v>
      </c>
      <c r="D282" s="26">
        <f>2.58+0.065</f>
        <v>2.645</v>
      </c>
      <c r="E282" s="56"/>
      <c r="F282" s="24"/>
      <c r="G282" s="141">
        <v>262</v>
      </c>
      <c r="H282" s="114">
        <f>911+2545+936</f>
        <v>4392</v>
      </c>
      <c r="I282" s="153" t="s">
        <v>440</v>
      </c>
    </row>
    <row r="283" spans="1:9" ht="12.75">
      <c r="A283" s="25">
        <v>3</v>
      </c>
      <c r="B283" s="29" t="s">
        <v>188</v>
      </c>
      <c r="C283" s="26"/>
      <c r="D283" s="26"/>
      <c r="E283" s="42"/>
      <c r="F283" s="25"/>
      <c r="G283" s="138"/>
      <c r="H283" s="53"/>
      <c r="I283" s="158"/>
    </row>
    <row r="284" spans="1:9" ht="12.75">
      <c r="A284" s="25"/>
      <c r="B284" s="23" t="s">
        <v>330</v>
      </c>
      <c r="C284" s="26" t="s">
        <v>53</v>
      </c>
      <c r="D284" s="26">
        <v>97.15</v>
      </c>
      <c r="E284" s="108">
        <v>72</v>
      </c>
      <c r="F284" s="108">
        <v>0.091</v>
      </c>
      <c r="G284" s="138">
        <f>D284*E284*F284</f>
        <v>636.5268</v>
      </c>
      <c r="H284" s="116">
        <f aca="true" t="shared" si="14" ref="H284:H290">123461.82/8882.9559*G284</f>
        <v>8846.915158812844</v>
      </c>
      <c r="I284" s="158"/>
    </row>
    <row r="285" spans="1:9" ht="12.75">
      <c r="A285" s="25"/>
      <c r="B285" s="23" t="s">
        <v>331</v>
      </c>
      <c r="C285" s="26" t="s">
        <v>53</v>
      </c>
      <c r="D285" s="26">
        <v>24.74</v>
      </c>
      <c r="E285" s="108">
        <v>72</v>
      </c>
      <c r="F285" s="108">
        <v>0.091</v>
      </c>
      <c r="G285" s="138">
        <f aca="true" t="shared" si="15" ref="G285:G290">D285*E285*F285</f>
        <v>162.09647999999999</v>
      </c>
      <c r="H285" s="116">
        <f t="shared" si="14"/>
        <v>2252.9354712200698</v>
      </c>
      <c r="I285" s="158"/>
    </row>
    <row r="286" spans="1:9" ht="12.75">
      <c r="A286" s="25"/>
      <c r="B286" s="23" t="s">
        <v>332</v>
      </c>
      <c r="C286" s="26" t="s">
        <v>53</v>
      </c>
      <c r="D286" s="26">
        <v>329.98</v>
      </c>
      <c r="E286" s="108">
        <v>36</v>
      </c>
      <c r="F286" s="108">
        <v>0.03</v>
      </c>
      <c r="G286" s="138">
        <f t="shared" si="15"/>
        <v>356.3784</v>
      </c>
      <c r="H286" s="116">
        <f t="shared" si="14"/>
        <v>4953.207734903648</v>
      </c>
      <c r="I286" s="158"/>
    </row>
    <row r="287" spans="1:9" ht="12.75">
      <c r="A287" s="25"/>
      <c r="B287" s="23" t="s">
        <v>190</v>
      </c>
      <c r="C287" s="26" t="s">
        <v>53</v>
      </c>
      <c r="D287" s="26">
        <v>117.32</v>
      </c>
      <c r="E287" s="108">
        <v>63</v>
      </c>
      <c r="F287" s="108">
        <v>0.129</v>
      </c>
      <c r="G287" s="138">
        <f t="shared" si="15"/>
        <v>953.45964</v>
      </c>
      <c r="H287" s="116">
        <f t="shared" si="14"/>
        <v>13251.87964188191</v>
      </c>
      <c r="I287" s="158"/>
    </row>
    <row r="288" spans="1:9" ht="12.75">
      <c r="A288" s="25"/>
      <c r="B288" s="23" t="s">
        <v>191</v>
      </c>
      <c r="C288" s="26" t="s">
        <v>203</v>
      </c>
      <c r="D288" s="26">
        <v>0.2</v>
      </c>
      <c r="E288" s="108">
        <v>72</v>
      </c>
      <c r="F288" s="108">
        <v>1.128</v>
      </c>
      <c r="G288" s="138">
        <f t="shared" si="15"/>
        <v>16.243199999999998</v>
      </c>
      <c r="H288" s="116">
        <f t="shared" si="14"/>
        <v>225.75987736514594</v>
      </c>
      <c r="I288" s="158"/>
    </row>
    <row r="289" spans="1:9" ht="12.75">
      <c r="A289" s="25"/>
      <c r="B289" s="23" t="s">
        <v>195</v>
      </c>
      <c r="C289" s="26" t="s">
        <v>203</v>
      </c>
      <c r="D289" s="26">
        <v>16.2</v>
      </c>
      <c r="E289" s="108">
        <v>1</v>
      </c>
      <c r="F289" s="108">
        <v>0.68</v>
      </c>
      <c r="G289" s="138">
        <f t="shared" si="15"/>
        <v>11.016</v>
      </c>
      <c r="H289" s="116">
        <f t="shared" si="14"/>
        <v>153.10842746838358</v>
      </c>
      <c r="I289" s="158"/>
    </row>
    <row r="290" spans="1:9" ht="12.75">
      <c r="A290" s="25"/>
      <c r="B290" s="23" t="s">
        <v>196</v>
      </c>
      <c r="C290" s="26" t="s">
        <v>80</v>
      </c>
      <c r="D290" s="26">
        <v>14</v>
      </c>
      <c r="E290" s="108">
        <v>72</v>
      </c>
      <c r="F290" s="108">
        <v>0.125</v>
      </c>
      <c r="G290" s="138">
        <f t="shared" si="15"/>
        <v>126</v>
      </c>
      <c r="H290" s="116">
        <f t="shared" si="14"/>
        <v>1751.2401834619036</v>
      </c>
      <c r="I290" s="158"/>
    </row>
    <row r="291" spans="1:9" ht="15.75" customHeight="1">
      <c r="A291" s="25"/>
      <c r="B291" s="29" t="s">
        <v>413</v>
      </c>
      <c r="C291" s="26"/>
      <c r="D291" s="26"/>
      <c r="E291" s="108"/>
      <c r="F291" s="108"/>
      <c r="G291" s="141">
        <f>SUM(G284:G290)</f>
        <v>2261.7205200000003</v>
      </c>
      <c r="H291" s="145">
        <f>SUM(H284:H290)</f>
        <v>31435.046495113904</v>
      </c>
      <c r="I291" s="158"/>
    </row>
    <row r="292" spans="1:9" ht="15.75" customHeight="1">
      <c r="A292" s="25"/>
      <c r="B292" s="29" t="s">
        <v>427</v>
      </c>
      <c r="C292" s="26"/>
      <c r="D292" s="26"/>
      <c r="E292" s="108"/>
      <c r="F292" s="108"/>
      <c r="G292" s="36">
        <f>G257+G271+G281+G291</f>
        <v>8882.955880000001</v>
      </c>
      <c r="H292" s="145">
        <f>H257+H271+H281+H291</f>
        <v>123461.81972202536</v>
      </c>
      <c r="I292" s="158"/>
    </row>
    <row r="293" spans="1:9" ht="17.25" customHeight="1">
      <c r="A293" s="25"/>
      <c r="B293" s="91" t="s">
        <v>342</v>
      </c>
      <c r="C293" s="56" t="s">
        <v>73</v>
      </c>
      <c r="D293" s="56">
        <f>0.17+0.077</f>
        <v>0.247</v>
      </c>
      <c r="E293" s="56"/>
      <c r="F293" s="18"/>
      <c r="G293" s="143">
        <v>33</v>
      </c>
      <c r="H293" s="117">
        <f>713+325+119.5</f>
        <v>1157.5</v>
      </c>
      <c r="I293" s="153" t="s">
        <v>439</v>
      </c>
    </row>
    <row r="294" spans="1:9" ht="15.75" customHeight="1">
      <c r="A294" s="25"/>
      <c r="B294" s="91" t="s">
        <v>428</v>
      </c>
      <c r="C294" s="56"/>
      <c r="D294" s="56"/>
      <c r="E294" s="56"/>
      <c r="F294" s="18"/>
      <c r="G294" s="143">
        <f>G272+G282+G293</f>
        <v>867</v>
      </c>
      <c r="H294" s="18">
        <f>H272+H282+H293</f>
        <v>15391.5</v>
      </c>
      <c r="I294" s="153"/>
    </row>
    <row r="295" spans="1:11" ht="18" customHeight="1">
      <c r="A295" s="22"/>
      <c r="B295" s="29" t="s">
        <v>228</v>
      </c>
      <c r="C295" s="26"/>
      <c r="D295" s="26"/>
      <c r="E295" s="42"/>
      <c r="F295" s="24"/>
      <c r="G295" s="36"/>
      <c r="H295" s="121"/>
      <c r="I295" s="158"/>
      <c r="J295" s="49"/>
      <c r="K295" s="49"/>
    </row>
    <row r="296" spans="1:11" ht="18" customHeight="1">
      <c r="A296" s="22"/>
      <c r="B296" s="29" t="s">
        <v>199</v>
      </c>
      <c r="C296" s="25" t="s">
        <v>80</v>
      </c>
      <c r="D296" s="25">
        <v>1</v>
      </c>
      <c r="E296" s="56"/>
      <c r="F296" s="24"/>
      <c r="G296" s="36">
        <v>0</v>
      </c>
      <c r="H296" s="121">
        <v>0</v>
      </c>
      <c r="I296" s="158"/>
      <c r="J296" s="49"/>
      <c r="K296" s="49"/>
    </row>
    <row r="297" spans="1:9" ht="27.75" customHeight="1">
      <c r="A297" s="22"/>
      <c r="B297" s="73" t="s">
        <v>361</v>
      </c>
      <c r="C297" s="25"/>
      <c r="D297" s="25"/>
      <c r="E297" s="25"/>
      <c r="F297" s="25"/>
      <c r="G297" s="36">
        <f>G292+G294</f>
        <v>9749.955880000001</v>
      </c>
      <c r="H297" s="146">
        <f>H292+H294+H273</f>
        <v>150581.31972202536</v>
      </c>
      <c r="I297" s="158"/>
    </row>
    <row r="298" spans="1:9" ht="18.75" customHeight="1">
      <c r="A298" s="403" t="s">
        <v>25</v>
      </c>
      <c r="B298" s="404"/>
      <c r="C298" s="404"/>
      <c r="D298" s="404"/>
      <c r="E298" s="404"/>
      <c r="F298" s="404"/>
      <c r="G298" s="404"/>
      <c r="H298" s="404"/>
      <c r="I298" s="158"/>
    </row>
    <row r="299" spans="1:9" ht="12.75">
      <c r="A299" s="23">
        <v>1</v>
      </c>
      <c r="B299" s="29" t="s">
        <v>200</v>
      </c>
      <c r="C299" s="23"/>
      <c r="D299" s="23"/>
      <c r="E299" s="42"/>
      <c r="F299" s="25"/>
      <c r="G299" s="25"/>
      <c r="H299" s="53"/>
      <c r="I299" s="158"/>
    </row>
    <row r="300" spans="1:9" ht="12.75">
      <c r="A300" s="26"/>
      <c r="B300" s="23" t="s">
        <v>201</v>
      </c>
      <c r="C300" s="26">
        <v>0</v>
      </c>
      <c r="D300" s="26">
        <v>0</v>
      </c>
      <c r="E300" s="105">
        <v>0</v>
      </c>
      <c r="F300" s="25">
        <v>0</v>
      </c>
      <c r="G300" s="138">
        <f>D300*E300*F300</f>
        <v>0</v>
      </c>
      <c r="H300" s="116">
        <f>27435.96/2069.502*G300</f>
        <v>0</v>
      </c>
      <c r="I300" s="158"/>
    </row>
    <row r="301" spans="1:9" ht="12.75">
      <c r="A301" s="26"/>
      <c r="B301" s="23" t="s">
        <v>202</v>
      </c>
      <c r="C301" s="26">
        <v>0</v>
      </c>
      <c r="D301" s="26">
        <v>0</v>
      </c>
      <c r="E301" s="105">
        <v>0</v>
      </c>
      <c r="F301" s="25">
        <v>0</v>
      </c>
      <c r="G301" s="138">
        <f aca="true" t="shared" si="16" ref="G301:G315">D301*E301*F301</f>
        <v>0</v>
      </c>
      <c r="H301" s="116">
        <f aca="true" t="shared" si="17" ref="H301:H315">27435.96/2069.502*G301</f>
        <v>0</v>
      </c>
      <c r="I301" s="158"/>
    </row>
    <row r="302" spans="1:9" ht="12.75">
      <c r="A302" s="26"/>
      <c r="B302" s="23" t="s">
        <v>204</v>
      </c>
      <c r="C302" s="26" t="s">
        <v>135</v>
      </c>
      <c r="D302" s="26">
        <v>4</v>
      </c>
      <c r="E302" s="105">
        <v>12</v>
      </c>
      <c r="F302" s="25">
        <v>1.35</v>
      </c>
      <c r="G302" s="138">
        <f t="shared" si="16"/>
        <v>64.80000000000001</v>
      </c>
      <c r="H302" s="116">
        <f t="shared" si="17"/>
        <v>859.0715099574682</v>
      </c>
      <c r="I302" s="158"/>
    </row>
    <row r="303" spans="1:9" ht="12.75">
      <c r="A303" s="26"/>
      <c r="B303" s="23" t="s">
        <v>205</v>
      </c>
      <c r="C303" s="26">
        <v>0</v>
      </c>
      <c r="D303" s="26">
        <v>0</v>
      </c>
      <c r="E303" s="105">
        <v>0</v>
      </c>
      <c r="F303" s="25">
        <v>0</v>
      </c>
      <c r="G303" s="138">
        <f t="shared" si="16"/>
        <v>0</v>
      </c>
      <c r="H303" s="116">
        <f t="shared" si="17"/>
        <v>0</v>
      </c>
      <c r="I303" s="158"/>
    </row>
    <row r="304" spans="1:9" ht="12.75">
      <c r="A304" s="26"/>
      <c r="B304" s="23" t="s">
        <v>206</v>
      </c>
      <c r="C304" s="26">
        <v>0</v>
      </c>
      <c r="D304" s="26">
        <v>0</v>
      </c>
      <c r="E304" s="105">
        <v>0</v>
      </c>
      <c r="F304" s="25">
        <v>0</v>
      </c>
      <c r="G304" s="138">
        <f t="shared" si="16"/>
        <v>0</v>
      </c>
      <c r="H304" s="116">
        <f t="shared" si="17"/>
        <v>0</v>
      </c>
      <c r="I304" s="158"/>
    </row>
    <row r="305" spans="1:9" ht="12.75">
      <c r="A305" s="26"/>
      <c r="B305" s="23"/>
      <c r="C305" s="26"/>
      <c r="D305" s="26"/>
      <c r="E305" s="105"/>
      <c r="F305" s="25"/>
      <c r="G305" s="138">
        <f t="shared" si="16"/>
        <v>0</v>
      </c>
      <c r="H305" s="116">
        <f t="shared" si="17"/>
        <v>0</v>
      </c>
      <c r="I305" s="158"/>
    </row>
    <row r="306" spans="1:9" ht="12.75">
      <c r="A306" s="26">
        <v>2</v>
      </c>
      <c r="B306" s="29" t="s">
        <v>207</v>
      </c>
      <c r="C306" s="26"/>
      <c r="D306" s="26"/>
      <c r="E306" s="105"/>
      <c r="F306" s="25"/>
      <c r="G306" s="138">
        <f t="shared" si="16"/>
        <v>0</v>
      </c>
      <c r="H306" s="116">
        <f t="shared" si="17"/>
        <v>0</v>
      </c>
      <c r="I306" s="158"/>
    </row>
    <row r="307" spans="1:9" ht="12.75">
      <c r="A307" s="26"/>
      <c r="B307" s="23" t="s">
        <v>208</v>
      </c>
      <c r="C307" s="26" t="s">
        <v>53</v>
      </c>
      <c r="D307" s="26">
        <v>70</v>
      </c>
      <c r="E307" s="105">
        <v>3</v>
      </c>
      <c r="F307" s="25">
        <v>0.23</v>
      </c>
      <c r="G307" s="138">
        <f t="shared" si="16"/>
        <v>48.300000000000004</v>
      </c>
      <c r="H307" s="116">
        <f t="shared" si="17"/>
        <v>640.3264495516313</v>
      </c>
      <c r="I307" s="158"/>
    </row>
    <row r="308" spans="1:9" ht="12.75">
      <c r="A308" s="26"/>
      <c r="B308" s="23" t="s">
        <v>419</v>
      </c>
      <c r="C308" s="26">
        <v>0</v>
      </c>
      <c r="D308" s="26">
        <v>0</v>
      </c>
      <c r="E308" s="105">
        <v>0</v>
      </c>
      <c r="F308" s="25">
        <v>0</v>
      </c>
      <c r="G308" s="138">
        <f t="shared" si="16"/>
        <v>0</v>
      </c>
      <c r="H308" s="116">
        <f t="shared" si="17"/>
        <v>0</v>
      </c>
      <c r="I308" s="158"/>
    </row>
    <row r="309" spans="1:9" ht="12.75">
      <c r="A309" s="26"/>
      <c r="B309" s="23" t="s">
        <v>211</v>
      </c>
      <c r="C309" s="26" t="s">
        <v>53</v>
      </c>
      <c r="D309" s="26">
        <f>1945/100</f>
        <v>19.45</v>
      </c>
      <c r="E309" s="105">
        <v>27</v>
      </c>
      <c r="F309" s="25">
        <v>0.03</v>
      </c>
      <c r="G309" s="138">
        <f t="shared" si="16"/>
        <v>15.754499999999998</v>
      </c>
      <c r="H309" s="116">
        <f t="shared" si="17"/>
        <v>208.86176085840938</v>
      </c>
      <c r="I309" s="158"/>
    </row>
    <row r="310" spans="1:9" ht="12.75">
      <c r="A310" s="26"/>
      <c r="B310" s="23" t="s">
        <v>212</v>
      </c>
      <c r="C310" s="26"/>
      <c r="D310" s="26"/>
      <c r="E310" s="105"/>
      <c r="F310" s="25"/>
      <c r="G310" s="138">
        <f t="shared" si="16"/>
        <v>0</v>
      </c>
      <c r="H310" s="116">
        <f t="shared" si="17"/>
        <v>0</v>
      </c>
      <c r="I310" s="158"/>
    </row>
    <row r="311" spans="1:9" ht="12.75">
      <c r="A311" s="26"/>
      <c r="B311" s="23" t="s">
        <v>213</v>
      </c>
      <c r="C311" s="26" t="s">
        <v>53</v>
      </c>
      <c r="D311" s="26">
        <v>27.86</v>
      </c>
      <c r="E311" s="105">
        <v>12</v>
      </c>
      <c r="F311" s="25">
        <v>1.21</v>
      </c>
      <c r="G311" s="138">
        <f t="shared" si="16"/>
        <v>404.5272</v>
      </c>
      <c r="H311" s="116">
        <f t="shared" si="17"/>
        <v>5362.928896957819</v>
      </c>
      <c r="I311" s="158"/>
    </row>
    <row r="312" spans="1:9" ht="12.75">
      <c r="A312" s="26"/>
      <c r="B312" s="23" t="s">
        <v>214</v>
      </c>
      <c r="C312" s="26" t="s">
        <v>179</v>
      </c>
      <c r="D312" s="26">
        <v>3</v>
      </c>
      <c r="E312" s="105">
        <v>12</v>
      </c>
      <c r="F312" s="25">
        <v>1.35</v>
      </c>
      <c r="G312" s="138">
        <f t="shared" si="16"/>
        <v>48.6</v>
      </c>
      <c r="H312" s="116">
        <f t="shared" si="17"/>
        <v>644.303632468101</v>
      </c>
      <c r="I312" s="158"/>
    </row>
    <row r="313" spans="1:9" ht="12.75">
      <c r="A313" s="26"/>
      <c r="B313" s="23" t="s">
        <v>215</v>
      </c>
      <c r="C313" s="26" t="s">
        <v>53</v>
      </c>
      <c r="D313" s="26">
        <v>0</v>
      </c>
      <c r="E313" s="105">
        <v>0</v>
      </c>
      <c r="F313" s="25">
        <v>0</v>
      </c>
      <c r="G313" s="138">
        <f t="shared" si="16"/>
        <v>0</v>
      </c>
      <c r="H313" s="116">
        <f t="shared" si="17"/>
        <v>0</v>
      </c>
      <c r="I313" s="158"/>
    </row>
    <row r="314" spans="1:9" ht="12.75">
      <c r="A314" s="26"/>
      <c r="B314" s="23" t="s">
        <v>216</v>
      </c>
      <c r="C314" s="26" t="s">
        <v>53</v>
      </c>
      <c r="D314" s="26">
        <v>22</v>
      </c>
      <c r="E314" s="105">
        <v>72</v>
      </c>
      <c r="F314" s="25">
        <v>0.03</v>
      </c>
      <c r="G314" s="138">
        <f t="shared" si="16"/>
        <v>47.519999999999996</v>
      </c>
      <c r="H314" s="116">
        <f t="shared" si="17"/>
        <v>629.9857739688099</v>
      </c>
      <c r="I314" s="158"/>
    </row>
    <row r="315" spans="1:9" ht="12.75">
      <c r="A315" s="26"/>
      <c r="B315" s="23" t="s">
        <v>217</v>
      </c>
      <c r="C315" s="26" t="s">
        <v>61</v>
      </c>
      <c r="D315" s="46">
        <v>120</v>
      </c>
      <c r="E315" s="105">
        <v>12</v>
      </c>
      <c r="F315" s="25">
        <v>1</v>
      </c>
      <c r="G315" s="138">
        <f t="shared" si="16"/>
        <v>1440</v>
      </c>
      <c r="H315" s="116">
        <f t="shared" si="17"/>
        <v>19090.477999054845</v>
      </c>
      <c r="I315" s="158"/>
    </row>
    <row r="316" spans="1:9" ht="16.5" customHeight="1">
      <c r="A316" s="26"/>
      <c r="B316" s="47" t="s">
        <v>413</v>
      </c>
      <c r="C316" s="26"/>
      <c r="D316" s="26"/>
      <c r="E316" s="56"/>
      <c r="F316" s="24"/>
      <c r="G316" s="36">
        <f>SUM(G300:G315)</f>
        <v>2069.5017</v>
      </c>
      <c r="H316" s="145">
        <f>SUM(H300:H315)</f>
        <v>27435.95602281708</v>
      </c>
      <c r="I316" s="158"/>
    </row>
    <row r="317" spans="1:9" ht="12.75">
      <c r="A317" s="26"/>
      <c r="B317" s="29" t="s">
        <v>218</v>
      </c>
      <c r="C317" s="26" t="s">
        <v>53</v>
      </c>
      <c r="D317" s="50">
        <f>0.05+0.13+3.024+0.189</f>
        <v>3.3930000000000002</v>
      </c>
      <c r="E317" s="56"/>
      <c r="F317" s="24"/>
      <c r="G317" s="36">
        <v>112</v>
      </c>
      <c r="H317" s="178">
        <f>171+938+345+0.16</f>
        <v>1454.16</v>
      </c>
      <c r="I317" s="155" t="s">
        <v>344</v>
      </c>
    </row>
    <row r="318" spans="1:10" ht="18" customHeight="1">
      <c r="A318" s="23"/>
      <c r="B318" s="29" t="s">
        <v>357</v>
      </c>
      <c r="C318" s="23"/>
      <c r="D318" s="23"/>
      <c r="E318" s="24"/>
      <c r="F318" s="24"/>
      <c r="G318" s="36">
        <f>G316+G317</f>
        <v>2181.5017</v>
      </c>
      <c r="H318" s="146">
        <f>H316+H317</f>
        <v>28890.11602281708</v>
      </c>
      <c r="I318" s="158"/>
      <c r="J318" s="63"/>
    </row>
    <row r="319" spans="1:10" ht="18" customHeight="1">
      <c r="A319" s="24"/>
      <c r="B319" s="77" t="s">
        <v>362</v>
      </c>
      <c r="C319" s="7"/>
      <c r="D319" s="7"/>
      <c r="E319" s="7"/>
      <c r="F319" s="7"/>
      <c r="G319" s="180">
        <f>G86+G154+G199+G233+G297+G318+G250</f>
        <v>131686.24564</v>
      </c>
      <c r="H319" s="149">
        <f>H86+H154+H199+H233+H250+H297+H318</f>
        <v>2376550.0000065654</v>
      </c>
      <c r="I319" s="158"/>
      <c r="J319" s="37"/>
    </row>
    <row r="320" spans="1:7" ht="12.75" customHeight="1">
      <c r="A320" s="20"/>
      <c r="G320" s="35"/>
    </row>
    <row r="321" spans="1:8" s="35" customFormat="1" ht="12.75">
      <c r="A321" s="31"/>
      <c r="G321" s="98"/>
      <c r="H321" s="98"/>
    </row>
    <row r="322" spans="1:9" s="35" customFormat="1" ht="12.75">
      <c r="A322" s="31"/>
      <c r="H322" s="37"/>
      <c r="I322" s="65"/>
    </row>
    <row r="323" spans="1:9" s="35" customFormat="1" ht="12.75">
      <c r="A323" s="31"/>
      <c r="G323" s="151"/>
      <c r="H323" s="37"/>
      <c r="I323" s="65"/>
    </row>
    <row r="324" spans="1:9" s="35" customFormat="1" ht="17.25" customHeight="1">
      <c r="A324" s="31"/>
      <c r="G324" s="65"/>
      <c r="H324" s="65"/>
      <c r="I324" s="65"/>
    </row>
    <row r="325" spans="1:9" s="35" customFormat="1" ht="12.75">
      <c r="A325" s="31"/>
      <c r="H325" s="65"/>
      <c r="I325" s="65"/>
    </row>
    <row r="326" spans="1:9" s="35" customFormat="1" ht="12.75">
      <c r="A326" s="31"/>
      <c r="B326" s="99"/>
      <c r="H326" s="37"/>
      <c r="I326" s="65"/>
    </row>
    <row r="327" spans="1:8" s="35" customFormat="1" ht="12.75">
      <c r="A327" s="31"/>
      <c r="H327" s="34"/>
    </row>
    <row r="328" spans="1:8" s="35" customFormat="1" ht="12.75">
      <c r="A328" s="31"/>
      <c r="H328" s="34"/>
    </row>
    <row r="329" spans="1:8" ht="12.75">
      <c r="A329" s="89"/>
      <c r="B329" s="89"/>
      <c r="H329" s="49"/>
    </row>
    <row r="331" ht="12.75">
      <c r="I331" s="49"/>
    </row>
    <row r="332" ht="12.75">
      <c r="I332" s="49"/>
    </row>
    <row r="334" ht="12.75">
      <c r="H334" s="49"/>
    </row>
    <row r="340" spans="2:7" ht="12.75">
      <c r="B340" s="34"/>
      <c r="C340" s="34"/>
      <c r="D340" s="34"/>
      <c r="E340" s="75"/>
      <c r="F340" s="34"/>
      <c r="G340" s="37"/>
    </row>
    <row r="341" spans="2:7" ht="12.75">
      <c r="B341" s="34"/>
      <c r="C341" s="34"/>
      <c r="D341" s="34"/>
      <c r="E341" s="34"/>
      <c r="F341" s="34"/>
      <c r="G341" s="34"/>
    </row>
    <row r="342" spans="2:7" ht="12.75">
      <c r="B342" s="16"/>
      <c r="C342" s="34"/>
      <c r="D342" s="34"/>
      <c r="G342" s="34"/>
    </row>
    <row r="343" spans="2:7" ht="12.75">
      <c r="B343" s="16"/>
      <c r="C343" s="34"/>
      <c r="D343" s="34"/>
      <c r="G343" s="37"/>
    </row>
    <row r="344" spans="2:7" ht="12.75">
      <c r="B344" s="16"/>
      <c r="C344" s="34"/>
      <c r="D344" s="34"/>
      <c r="G344" s="35"/>
    </row>
    <row r="345" spans="2:7" ht="12.75">
      <c r="B345" s="16"/>
      <c r="G345" s="65"/>
    </row>
    <row r="346" ht="12.75">
      <c r="B346" s="16"/>
    </row>
    <row r="347" spans="2:7" ht="12.75">
      <c r="B347" s="16"/>
      <c r="G347" s="49"/>
    </row>
    <row r="348" ht="12.75">
      <c r="B348" s="16"/>
    </row>
    <row r="349" ht="12.75">
      <c r="B349" s="16"/>
    </row>
    <row r="350" ht="12.75">
      <c r="B350" s="16"/>
    </row>
    <row r="351" ht="12.75">
      <c r="B351" s="16"/>
    </row>
  </sheetData>
  <sheetProtection/>
  <mergeCells count="22">
    <mergeCell ref="A235:H235"/>
    <mergeCell ref="J250:Q250"/>
    <mergeCell ref="A91:H91"/>
    <mergeCell ref="A155:H155"/>
    <mergeCell ref="A201:H201"/>
    <mergeCell ref="A234:H234"/>
    <mergeCell ref="A156:H156"/>
    <mergeCell ref="A200:H200"/>
    <mergeCell ref="A274:H274"/>
    <mergeCell ref="A298:H298"/>
    <mergeCell ref="A251:H251"/>
    <mergeCell ref="A252:H252"/>
    <mergeCell ref="A259:H259"/>
    <mergeCell ref="A260:H260"/>
    <mergeCell ref="A13:H13"/>
    <mergeCell ref="A14:H14"/>
    <mergeCell ref="A15:H15"/>
    <mergeCell ref="A16:H16"/>
    <mergeCell ref="A17:H17"/>
    <mergeCell ref="A66:H66"/>
    <mergeCell ref="A87:G87"/>
    <mergeCell ref="A90:H90"/>
  </mergeCells>
  <printOptions/>
  <pageMargins left="0.16" right="0.16" top="0.16" bottom="0.15" header="0.16" footer="0.1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454"/>
  <sheetViews>
    <sheetView zoomScalePageLayoutView="0" workbookViewId="0" topLeftCell="A1">
      <selection activeCell="A15" sqref="A15:I395"/>
    </sheetView>
  </sheetViews>
  <sheetFormatPr defaultColWidth="9.00390625" defaultRowHeight="12.75"/>
  <cols>
    <col min="1" max="1" width="4.125" style="181" customWidth="1"/>
    <col min="2" max="2" width="74.125" style="181" customWidth="1"/>
    <col min="3" max="3" width="11.375" style="181" customWidth="1"/>
    <col min="4" max="4" width="10.125" style="181" customWidth="1"/>
    <col min="5" max="5" width="11.75390625" style="181" customWidth="1"/>
    <col min="6" max="6" width="10.375" style="181" customWidth="1"/>
    <col min="7" max="7" width="12.875" style="181" customWidth="1"/>
    <col min="8" max="8" width="12.75390625" style="181" customWidth="1"/>
    <col min="9" max="9" width="11.375" style="181" customWidth="1"/>
    <col min="10" max="11" width="9.125" style="181" customWidth="1"/>
    <col min="12" max="12" width="11.75390625" style="181" bestFit="1" customWidth="1"/>
    <col min="13" max="16384" width="9.125" style="181" customWidth="1"/>
  </cols>
  <sheetData>
    <row r="1" spans="6:8" ht="14.25">
      <c r="F1" s="318" t="s">
        <v>277</v>
      </c>
      <c r="G1" s="318"/>
      <c r="H1" s="318"/>
    </row>
    <row r="2" spans="6:8" ht="14.25">
      <c r="F2" s="318" t="s">
        <v>280</v>
      </c>
      <c r="G2" s="318"/>
      <c r="H2" s="318"/>
    </row>
    <row r="3" spans="6:8" ht="14.25">
      <c r="F3" s="318" t="s">
        <v>278</v>
      </c>
      <c r="G3" s="318"/>
      <c r="H3" s="318"/>
    </row>
    <row r="4" spans="6:8" ht="14.25">
      <c r="F4" s="318" t="s">
        <v>358</v>
      </c>
      <c r="G4" s="318"/>
      <c r="H4" s="318"/>
    </row>
    <row r="5" spans="6:8" ht="14.25">
      <c r="F5" s="318" t="s">
        <v>279</v>
      </c>
      <c r="G5" s="318"/>
      <c r="H5" s="318"/>
    </row>
    <row r="6" ht="12.75" customHeight="1"/>
    <row r="7" ht="12.75" customHeight="1"/>
    <row r="8" ht="12.75" customHeight="1"/>
    <row r="9" spans="2:6" ht="15.75">
      <c r="B9" s="315"/>
      <c r="C9" s="316" t="s">
        <v>520</v>
      </c>
      <c r="D9" s="315"/>
      <c r="E9" s="315"/>
      <c r="F9" s="315"/>
    </row>
    <row r="10" spans="1:6" ht="15.75">
      <c r="A10" s="183"/>
      <c r="B10" s="317"/>
      <c r="C10" s="316" t="s">
        <v>1</v>
      </c>
      <c r="D10" s="317"/>
      <c r="E10" s="317"/>
      <c r="F10" s="317"/>
    </row>
    <row r="11" spans="1:7" ht="15.75">
      <c r="A11" s="183"/>
      <c r="B11" s="315"/>
      <c r="C11" s="316" t="s">
        <v>290</v>
      </c>
      <c r="D11" s="315"/>
      <c r="E11" s="315"/>
      <c r="F11" s="315"/>
      <c r="G11" s="314"/>
    </row>
    <row r="13" ht="12.75">
      <c r="D13" s="313"/>
    </row>
    <row r="14" spans="1:9" ht="38.25">
      <c r="A14" s="312" t="s">
        <v>27</v>
      </c>
      <c r="B14" s="231" t="s">
        <v>2</v>
      </c>
      <c r="C14" s="231" t="s">
        <v>3</v>
      </c>
      <c r="D14" s="312" t="s">
        <v>26</v>
      </c>
      <c r="E14" s="231" t="s">
        <v>410</v>
      </c>
      <c r="F14" s="231" t="s">
        <v>409</v>
      </c>
      <c r="G14" s="231" t="s">
        <v>487</v>
      </c>
      <c r="H14" s="231" t="s">
        <v>411</v>
      </c>
      <c r="I14" s="93" t="s">
        <v>7</v>
      </c>
    </row>
    <row r="15" spans="1:9" ht="12.75">
      <c r="A15" s="303"/>
      <c r="B15" s="303">
        <v>2</v>
      </c>
      <c r="C15" s="303">
        <v>3</v>
      </c>
      <c r="D15" s="303">
        <v>4</v>
      </c>
      <c r="E15" s="303">
        <v>5</v>
      </c>
      <c r="F15" s="303">
        <v>6</v>
      </c>
      <c r="G15" s="303">
        <v>7</v>
      </c>
      <c r="H15" s="311">
        <v>8</v>
      </c>
      <c r="I15" s="212">
        <v>9</v>
      </c>
    </row>
    <row r="16" spans="1:9" ht="12.75">
      <c r="A16" s="425" t="s">
        <v>8</v>
      </c>
      <c r="B16" s="425"/>
      <c r="C16" s="425"/>
      <c r="D16" s="425"/>
      <c r="E16" s="425"/>
      <c r="F16" s="425"/>
      <c r="G16" s="425"/>
      <c r="H16" s="426"/>
      <c r="I16" s="282"/>
    </row>
    <row r="17" spans="1:9" ht="12.75">
      <c r="A17" s="427" t="s">
        <v>9</v>
      </c>
      <c r="B17" s="392"/>
      <c r="C17" s="392"/>
      <c r="D17" s="392"/>
      <c r="E17" s="392"/>
      <c r="F17" s="392"/>
      <c r="G17" s="392"/>
      <c r="H17" s="392"/>
      <c r="I17" s="310"/>
    </row>
    <row r="18" spans="1:9" ht="12.75">
      <c r="A18" s="393" t="s">
        <v>10</v>
      </c>
      <c r="B18" s="422"/>
      <c r="C18" s="422"/>
      <c r="D18" s="422"/>
      <c r="E18" s="422"/>
      <c r="F18" s="422"/>
      <c r="G18" s="422"/>
      <c r="H18" s="422"/>
      <c r="I18" s="309"/>
    </row>
    <row r="19" spans="1:9" ht="12.75">
      <c r="A19" s="393" t="s">
        <v>11</v>
      </c>
      <c r="B19" s="422"/>
      <c r="C19" s="422"/>
      <c r="D19" s="422"/>
      <c r="E19" s="422"/>
      <c r="F19" s="422"/>
      <c r="G19" s="422"/>
      <c r="H19" s="422"/>
      <c r="I19" s="309"/>
    </row>
    <row r="20" spans="1:9" ht="12.75">
      <c r="A20" s="394" t="s">
        <v>12</v>
      </c>
      <c r="B20" s="395"/>
      <c r="C20" s="395"/>
      <c r="D20" s="395"/>
      <c r="E20" s="395"/>
      <c r="F20" s="395"/>
      <c r="G20" s="395"/>
      <c r="H20" s="395"/>
      <c r="I20" s="308"/>
    </row>
    <row r="21" spans="1:9" ht="12.75">
      <c r="A21" s="307" t="s">
        <v>13</v>
      </c>
      <c r="B21" s="283" t="s">
        <v>28</v>
      </c>
      <c r="C21" s="306"/>
      <c r="D21" s="306"/>
      <c r="E21" s="305"/>
      <c r="F21" s="305"/>
      <c r="G21" s="305"/>
      <c r="H21" s="304"/>
      <c r="I21" s="244"/>
    </row>
    <row r="22" spans="1:9" ht="12.75">
      <c r="A22" s="227"/>
      <c r="B22" s="47" t="s">
        <v>29</v>
      </c>
      <c r="C22" s="205"/>
      <c r="D22" s="205"/>
      <c r="E22" s="215"/>
      <c r="F22" s="215"/>
      <c r="G22" s="205"/>
      <c r="H22" s="223"/>
      <c r="I22" s="51"/>
    </row>
    <row r="23" spans="1:9" ht="12.75">
      <c r="A23" s="227"/>
      <c r="B23" s="51" t="s">
        <v>30</v>
      </c>
      <c r="C23" s="212" t="s">
        <v>43</v>
      </c>
      <c r="D23" s="212">
        <f>2000/10</f>
        <v>200</v>
      </c>
      <c r="E23" s="216">
        <v>20</v>
      </c>
      <c r="F23" s="216">
        <v>0.47</v>
      </c>
      <c r="G23" s="300">
        <f aca="true" t="shared" si="0" ref="G23:G54">D23*E23*F23</f>
        <v>1880</v>
      </c>
      <c r="H23" s="291">
        <f aca="true" t="shared" si="1" ref="H23:H54">790730/39258.45*G23</f>
        <v>37866.30394220862</v>
      </c>
      <c r="I23" s="51"/>
    </row>
    <row r="24" spans="1:9" ht="12.75">
      <c r="A24" s="227"/>
      <c r="B24" s="51" t="s">
        <v>31</v>
      </c>
      <c r="C24" s="212" t="s">
        <v>43</v>
      </c>
      <c r="D24" s="212">
        <f>400/10</f>
        <v>40</v>
      </c>
      <c r="E24" s="216">
        <v>20</v>
      </c>
      <c r="F24" s="216">
        <v>0.47</v>
      </c>
      <c r="G24" s="300">
        <f t="shared" si="0"/>
        <v>376</v>
      </c>
      <c r="H24" s="291">
        <f t="shared" si="1"/>
        <v>7573.260788441725</v>
      </c>
      <c r="I24" s="51"/>
    </row>
    <row r="25" spans="1:9" ht="12.75">
      <c r="A25" s="227"/>
      <c r="B25" s="51" t="s">
        <v>32</v>
      </c>
      <c r="C25" s="212" t="s">
        <v>43</v>
      </c>
      <c r="D25" s="212">
        <f>574/10</f>
        <v>57.4</v>
      </c>
      <c r="E25" s="216">
        <v>20</v>
      </c>
      <c r="F25" s="216">
        <v>0.47</v>
      </c>
      <c r="G25" s="300">
        <f t="shared" si="0"/>
        <v>539.56</v>
      </c>
      <c r="H25" s="291">
        <f t="shared" si="1"/>
        <v>10867.629231413874</v>
      </c>
      <c r="I25" s="51"/>
    </row>
    <row r="26" spans="1:9" ht="12.75">
      <c r="A26" s="227"/>
      <c r="B26" s="51" t="s">
        <v>33</v>
      </c>
      <c r="C26" s="212" t="s">
        <v>43</v>
      </c>
      <c r="D26" s="212">
        <f>300/10</f>
        <v>30</v>
      </c>
      <c r="E26" s="216">
        <v>20</v>
      </c>
      <c r="F26" s="216">
        <v>0.47</v>
      </c>
      <c r="G26" s="300">
        <f t="shared" si="0"/>
        <v>282</v>
      </c>
      <c r="H26" s="291">
        <f t="shared" si="1"/>
        <v>5679.945591331294</v>
      </c>
      <c r="I26" s="51"/>
    </row>
    <row r="27" spans="1:9" ht="12.75">
      <c r="A27" s="227"/>
      <c r="B27" s="51" t="s">
        <v>34</v>
      </c>
      <c r="C27" s="212" t="s">
        <v>43</v>
      </c>
      <c r="D27" s="212">
        <f>1930/10</f>
        <v>193</v>
      </c>
      <c r="E27" s="216">
        <v>20</v>
      </c>
      <c r="F27" s="216">
        <v>0.47</v>
      </c>
      <c r="G27" s="300">
        <f t="shared" si="0"/>
        <v>1814.1999999999998</v>
      </c>
      <c r="H27" s="291">
        <f t="shared" si="1"/>
        <v>36540.98330423132</v>
      </c>
      <c r="I27" s="51"/>
    </row>
    <row r="28" spans="1:9" ht="12.75">
      <c r="A28" s="227"/>
      <c r="B28" s="51" t="s">
        <v>35</v>
      </c>
      <c r="C28" s="212" t="s">
        <v>43</v>
      </c>
      <c r="D28" s="212">
        <f>960/10</f>
        <v>96</v>
      </c>
      <c r="E28" s="216">
        <v>20</v>
      </c>
      <c r="F28" s="216">
        <v>0.47</v>
      </c>
      <c r="G28" s="300">
        <f t="shared" si="0"/>
        <v>902.4</v>
      </c>
      <c r="H28" s="291">
        <f t="shared" si="1"/>
        <v>18175.825892260138</v>
      </c>
      <c r="I28" s="51"/>
    </row>
    <row r="29" spans="1:9" ht="12.75">
      <c r="A29" s="215"/>
      <c r="B29" s="51" t="s">
        <v>36</v>
      </c>
      <c r="C29" s="212" t="s">
        <v>43</v>
      </c>
      <c r="D29" s="220">
        <f>1418/10</f>
        <v>141.8</v>
      </c>
      <c r="E29" s="216">
        <v>20</v>
      </c>
      <c r="F29" s="216">
        <v>0.47</v>
      </c>
      <c r="G29" s="300">
        <f t="shared" si="0"/>
        <v>1332.9199999999998</v>
      </c>
      <c r="H29" s="291">
        <f t="shared" si="1"/>
        <v>26847.209495025912</v>
      </c>
      <c r="I29" s="51"/>
    </row>
    <row r="30" spans="1:9" ht="12.75">
      <c r="A30" s="215"/>
      <c r="B30" s="51" t="s">
        <v>37</v>
      </c>
      <c r="C30" s="212" t="s">
        <v>43</v>
      </c>
      <c r="D30" s="212">
        <f>330/10</f>
        <v>33</v>
      </c>
      <c r="E30" s="216">
        <v>20</v>
      </c>
      <c r="F30" s="216">
        <v>0.47</v>
      </c>
      <c r="G30" s="300">
        <f t="shared" si="0"/>
        <v>310.2</v>
      </c>
      <c r="H30" s="291">
        <f t="shared" si="1"/>
        <v>6247.940150464423</v>
      </c>
      <c r="I30" s="51"/>
    </row>
    <row r="31" spans="1:9" ht="12.75">
      <c r="A31" s="215"/>
      <c r="B31" s="51" t="s">
        <v>38</v>
      </c>
      <c r="C31" s="212" t="s">
        <v>43</v>
      </c>
      <c r="D31" s="212">
        <f>960/10</f>
        <v>96</v>
      </c>
      <c r="E31" s="216">
        <v>20</v>
      </c>
      <c r="F31" s="216">
        <v>0.47</v>
      </c>
      <c r="G31" s="300">
        <f t="shared" si="0"/>
        <v>902.4</v>
      </c>
      <c r="H31" s="291">
        <f t="shared" si="1"/>
        <v>18175.825892260138</v>
      </c>
      <c r="I31" s="51"/>
    </row>
    <row r="32" spans="1:9" ht="12.75">
      <c r="A32" s="227"/>
      <c r="B32" s="51" t="s">
        <v>39</v>
      </c>
      <c r="C32" s="212" t="s">
        <v>43</v>
      </c>
      <c r="D32" s="212">
        <f>2200/10</f>
        <v>220</v>
      </c>
      <c r="E32" s="216">
        <v>10</v>
      </c>
      <c r="F32" s="216">
        <v>0.47</v>
      </c>
      <c r="G32" s="300">
        <f t="shared" si="0"/>
        <v>1034</v>
      </c>
      <c r="H32" s="291">
        <f t="shared" si="1"/>
        <v>20826.467168214745</v>
      </c>
      <c r="I32" s="51"/>
    </row>
    <row r="33" spans="1:9" ht="12.75">
      <c r="A33" s="227"/>
      <c r="B33" s="51" t="s">
        <v>40</v>
      </c>
      <c r="C33" s="212" t="s">
        <v>43</v>
      </c>
      <c r="D33" s="220">
        <f>1743/10</f>
        <v>174.3</v>
      </c>
      <c r="E33" s="216">
        <v>10</v>
      </c>
      <c r="F33" s="216">
        <v>0.47</v>
      </c>
      <c r="G33" s="300">
        <f t="shared" si="0"/>
        <v>819.2099999999999</v>
      </c>
      <c r="H33" s="291">
        <f t="shared" si="1"/>
        <v>16500.241942817407</v>
      </c>
      <c r="I33" s="51"/>
    </row>
    <row r="34" spans="1:9" ht="12.75">
      <c r="A34" s="227"/>
      <c r="B34" s="51" t="s">
        <v>41</v>
      </c>
      <c r="C34" s="212" t="s">
        <v>43</v>
      </c>
      <c r="D34" s="212">
        <f>2500/10</f>
        <v>250</v>
      </c>
      <c r="E34" s="216">
        <v>6</v>
      </c>
      <c r="F34" s="216">
        <v>0.47</v>
      </c>
      <c r="G34" s="300">
        <f t="shared" si="0"/>
        <v>705</v>
      </c>
      <c r="H34" s="291">
        <f t="shared" si="1"/>
        <v>14199.863978328234</v>
      </c>
      <c r="I34" s="51"/>
    </row>
    <row r="35" spans="1:9" ht="12.75">
      <c r="A35" s="227"/>
      <c r="B35" s="51" t="s">
        <v>42</v>
      </c>
      <c r="C35" s="212" t="s">
        <v>43</v>
      </c>
      <c r="D35" s="212">
        <f>850/10</f>
        <v>85</v>
      </c>
      <c r="E35" s="216">
        <v>6</v>
      </c>
      <c r="F35" s="216">
        <v>0.47</v>
      </c>
      <c r="G35" s="300">
        <f t="shared" si="0"/>
        <v>239.7</v>
      </c>
      <c r="H35" s="291">
        <f t="shared" si="1"/>
        <v>4827.9537526316</v>
      </c>
      <c r="I35" s="51"/>
    </row>
    <row r="36" spans="1:9" ht="12.75">
      <c r="A36" s="227"/>
      <c r="B36" s="51" t="s">
        <v>509</v>
      </c>
      <c r="C36" s="212" t="s">
        <v>43</v>
      </c>
      <c r="D36" s="212">
        <f>420/10</f>
        <v>42</v>
      </c>
      <c r="E36" s="216">
        <v>6</v>
      </c>
      <c r="F36" s="216">
        <v>0.47</v>
      </c>
      <c r="G36" s="300">
        <f t="shared" si="0"/>
        <v>118.44</v>
      </c>
      <c r="H36" s="291">
        <f t="shared" si="1"/>
        <v>2385.5771483591434</v>
      </c>
      <c r="I36" s="51"/>
    </row>
    <row r="37" spans="1:9" ht="12.75">
      <c r="A37" s="227"/>
      <c r="B37" s="51" t="s">
        <v>510</v>
      </c>
      <c r="C37" s="212" t="s">
        <v>43</v>
      </c>
      <c r="D37" s="212">
        <f>550/10</f>
        <v>55</v>
      </c>
      <c r="E37" s="216">
        <v>6</v>
      </c>
      <c r="F37" s="216">
        <v>0.47</v>
      </c>
      <c r="G37" s="300">
        <f t="shared" si="0"/>
        <v>155.1</v>
      </c>
      <c r="H37" s="291">
        <f t="shared" si="1"/>
        <v>3123.9700752322115</v>
      </c>
      <c r="I37" s="51"/>
    </row>
    <row r="38" spans="1:9" ht="12.75">
      <c r="A38" s="227"/>
      <c r="B38" s="51" t="s">
        <v>511</v>
      </c>
      <c r="C38" s="212" t="s">
        <v>43</v>
      </c>
      <c r="D38" s="212">
        <f>2000/10</f>
        <v>200</v>
      </c>
      <c r="E38" s="216">
        <v>6</v>
      </c>
      <c r="F38" s="216">
        <v>0.47</v>
      </c>
      <c r="G38" s="300">
        <f t="shared" si="0"/>
        <v>564</v>
      </c>
      <c r="H38" s="291">
        <f t="shared" si="1"/>
        <v>11359.891182662588</v>
      </c>
      <c r="I38" s="51"/>
    </row>
    <row r="39" spans="1:9" ht="12.75">
      <c r="A39" s="303">
        <v>2</v>
      </c>
      <c r="B39" s="51" t="s">
        <v>512</v>
      </c>
      <c r="C39" s="212"/>
      <c r="D39" s="212"/>
      <c r="E39" s="216"/>
      <c r="F39" s="216"/>
      <c r="G39" s="300">
        <f t="shared" si="0"/>
        <v>0</v>
      </c>
      <c r="H39" s="291">
        <f t="shared" si="1"/>
        <v>0</v>
      </c>
      <c r="I39" s="51"/>
    </row>
    <row r="40" spans="1:9" ht="12.75">
      <c r="A40" s="227"/>
      <c r="B40" s="51" t="s">
        <v>517</v>
      </c>
      <c r="C40" s="212" t="s">
        <v>53</v>
      </c>
      <c r="D40" s="212">
        <v>160</v>
      </c>
      <c r="E40" s="216">
        <v>6</v>
      </c>
      <c r="F40" s="216">
        <v>0.091</v>
      </c>
      <c r="G40" s="300">
        <f t="shared" si="0"/>
        <v>87.36</v>
      </c>
      <c r="H40" s="291">
        <f t="shared" si="1"/>
        <v>1759.5746342507157</v>
      </c>
      <c r="I40" s="51"/>
    </row>
    <row r="41" spans="1:9" ht="12.75">
      <c r="A41" s="227">
        <v>3</v>
      </c>
      <c r="B41" s="51" t="s">
        <v>44</v>
      </c>
      <c r="C41" s="212" t="s">
        <v>52</v>
      </c>
      <c r="D41" s="212">
        <v>320</v>
      </c>
      <c r="E41" s="215">
        <v>4</v>
      </c>
      <c r="F41" s="215">
        <v>0.91</v>
      </c>
      <c r="G41" s="300">
        <f t="shared" si="0"/>
        <v>1164.8</v>
      </c>
      <c r="H41" s="291">
        <f t="shared" si="1"/>
        <v>23460.995123342876</v>
      </c>
      <c r="I41" s="51"/>
    </row>
    <row r="42" spans="1:9" ht="12.75">
      <c r="A42" s="227">
        <v>4</v>
      </c>
      <c r="B42" s="51" t="s">
        <v>46</v>
      </c>
      <c r="C42" s="212" t="s">
        <v>52</v>
      </c>
      <c r="D42" s="212">
        <v>310</v>
      </c>
      <c r="E42" s="215">
        <v>4</v>
      </c>
      <c r="F42" s="215">
        <v>0.3</v>
      </c>
      <c r="G42" s="300">
        <f t="shared" si="0"/>
        <v>372</v>
      </c>
      <c r="H42" s="291">
        <f t="shared" si="1"/>
        <v>7492.694184309366</v>
      </c>
      <c r="I42" s="51"/>
    </row>
    <row r="43" spans="1:9" ht="12.75">
      <c r="A43" s="227">
        <v>5</v>
      </c>
      <c r="B43" s="51" t="s">
        <v>47</v>
      </c>
      <c r="C43" s="212" t="s">
        <v>52</v>
      </c>
      <c r="D43" s="212">
        <v>350</v>
      </c>
      <c r="E43" s="215">
        <v>4</v>
      </c>
      <c r="F43" s="215">
        <v>0.91</v>
      </c>
      <c r="G43" s="300">
        <f t="shared" si="0"/>
        <v>1274</v>
      </c>
      <c r="H43" s="291">
        <f t="shared" si="1"/>
        <v>25660.46341615627</v>
      </c>
      <c r="I43" s="51"/>
    </row>
    <row r="44" spans="1:9" ht="12.75">
      <c r="A44" s="227">
        <v>6</v>
      </c>
      <c r="B44" s="51" t="s">
        <v>48</v>
      </c>
      <c r="C44" s="212" t="s">
        <v>53</v>
      </c>
      <c r="D44" s="220">
        <v>75.39</v>
      </c>
      <c r="E44" s="215">
        <v>6</v>
      </c>
      <c r="F44" s="215">
        <v>6.25</v>
      </c>
      <c r="G44" s="300">
        <f t="shared" si="0"/>
        <v>2827.125</v>
      </c>
      <c r="H44" s="291">
        <f t="shared" si="1"/>
        <v>56942.9651769237</v>
      </c>
      <c r="I44" s="51"/>
    </row>
    <row r="45" spans="1:9" ht="12.75">
      <c r="A45" s="227">
        <v>7</v>
      </c>
      <c r="B45" s="51" t="s">
        <v>49</v>
      </c>
      <c r="C45" s="212" t="s">
        <v>53</v>
      </c>
      <c r="D45" s="220">
        <v>323.47</v>
      </c>
      <c r="E45" s="215">
        <v>6</v>
      </c>
      <c r="F45" s="215">
        <v>0.31</v>
      </c>
      <c r="G45" s="300">
        <f t="shared" si="0"/>
        <v>601.6542000000001</v>
      </c>
      <c r="H45" s="291">
        <f t="shared" si="1"/>
        <v>12118.308938992755</v>
      </c>
      <c r="I45" s="51"/>
    </row>
    <row r="46" spans="1:9" ht="12.75">
      <c r="A46" s="227">
        <v>8</v>
      </c>
      <c r="B46" s="51" t="s">
        <v>223</v>
      </c>
      <c r="C46" s="212" t="s">
        <v>53</v>
      </c>
      <c r="D46" s="220">
        <v>61.18</v>
      </c>
      <c r="E46" s="215">
        <v>32</v>
      </c>
      <c r="F46" s="215">
        <v>0.162</v>
      </c>
      <c r="G46" s="300">
        <f t="shared" si="0"/>
        <v>317.15712</v>
      </c>
      <c r="H46" s="291">
        <f t="shared" si="1"/>
        <v>6388.068033699752</v>
      </c>
      <c r="I46" s="51"/>
    </row>
    <row r="47" spans="1:9" ht="12.75">
      <c r="A47" s="227">
        <v>9</v>
      </c>
      <c r="B47" s="51" t="s">
        <v>513</v>
      </c>
      <c r="C47" s="212" t="s">
        <v>251</v>
      </c>
      <c r="D47" s="220">
        <v>10</v>
      </c>
      <c r="E47" s="215">
        <v>2</v>
      </c>
      <c r="F47" s="215">
        <v>1.1</v>
      </c>
      <c r="G47" s="300">
        <f t="shared" si="0"/>
        <v>22</v>
      </c>
      <c r="H47" s="291">
        <f t="shared" si="1"/>
        <v>443.1163227279733</v>
      </c>
      <c r="I47" s="51"/>
    </row>
    <row r="48" spans="1:9" ht="12.75">
      <c r="A48" s="227">
        <v>10</v>
      </c>
      <c r="B48" s="51" t="s">
        <v>514</v>
      </c>
      <c r="C48" s="212" t="s">
        <v>254</v>
      </c>
      <c r="D48" s="220">
        <v>100</v>
      </c>
      <c r="E48" s="215">
        <v>2</v>
      </c>
      <c r="F48" s="215">
        <v>0.37</v>
      </c>
      <c r="G48" s="300">
        <f t="shared" si="0"/>
        <v>74</v>
      </c>
      <c r="H48" s="291">
        <f t="shared" si="1"/>
        <v>1490.4821764486373</v>
      </c>
      <c r="I48" s="51"/>
    </row>
    <row r="49" spans="1:9" ht="12.75">
      <c r="A49" s="227">
        <v>11</v>
      </c>
      <c r="B49" s="51" t="s">
        <v>530</v>
      </c>
      <c r="C49" s="212" t="s">
        <v>295</v>
      </c>
      <c r="D49" s="220">
        <v>70</v>
      </c>
      <c r="E49" s="215">
        <v>1</v>
      </c>
      <c r="F49" s="215">
        <v>1.3</v>
      </c>
      <c r="G49" s="300">
        <f t="shared" si="0"/>
        <v>91</v>
      </c>
      <c r="H49" s="291">
        <f t="shared" si="1"/>
        <v>1832.8902440111622</v>
      </c>
      <c r="I49" s="51"/>
    </row>
    <row r="50" spans="1:9" ht="12.75">
      <c r="A50" s="227"/>
      <c r="B50" s="51" t="s">
        <v>515</v>
      </c>
      <c r="C50" s="212"/>
      <c r="D50" s="220"/>
      <c r="E50" s="215"/>
      <c r="F50" s="215"/>
      <c r="G50" s="300">
        <f t="shared" si="0"/>
        <v>0</v>
      </c>
      <c r="H50" s="291">
        <f t="shared" si="1"/>
        <v>0</v>
      </c>
      <c r="I50" s="51"/>
    </row>
    <row r="51" spans="1:9" ht="12.75">
      <c r="A51" s="227"/>
      <c r="B51" s="51" t="s">
        <v>516</v>
      </c>
      <c r="C51" s="212"/>
      <c r="D51" s="220"/>
      <c r="E51" s="215"/>
      <c r="F51" s="215"/>
      <c r="G51" s="300">
        <f t="shared" si="0"/>
        <v>0</v>
      </c>
      <c r="H51" s="291">
        <f t="shared" si="1"/>
        <v>0</v>
      </c>
      <c r="I51" s="51"/>
    </row>
    <row r="52" spans="1:9" ht="12.75">
      <c r="A52" s="227">
        <v>12</v>
      </c>
      <c r="B52" s="51" t="s">
        <v>482</v>
      </c>
      <c r="C52" s="212" t="s">
        <v>61</v>
      </c>
      <c r="D52" s="302">
        <f>16*5</f>
        <v>80</v>
      </c>
      <c r="E52" s="215">
        <v>10</v>
      </c>
      <c r="F52" s="215">
        <v>1</v>
      </c>
      <c r="G52" s="300">
        <f t="shared" si="0"/>
        <v>800</v>
      </c>
      <c r="H52" s="291">
        <f t="shared" si="1"/>
        <v>16113.320826471756</v>
      </c>
      <c r="I52" s="51"/>
    </row>
    <row r="53" spans="1:9" ht="12.75">
      <c r="A53" s="227"/>
      <c r="B53" s="51" t="s">
        <v>479</v>
      </c>
      <c r="C53" s="212" t="s">
        <v>61</v>
      </c>
      <c r="D53" s="220">
        <f>54+104+3</f>
        <v>161</v>
      </c>
      <c r="E53" s="215">
        <v>1</v>
      </c>
      <c r="F53" s="215">
        <v>1</v>
      </c>
      <c r="G53" s="300">
        <f t="shared" si="0"/>
        <v>161</v>
      </c>
      <c r="H53" s="291">
        <f t="shared" si="1"/>
        <v>3242.805816327441</v>
      </c>
      <c r="I53" s="51"/>
    </row>
    <row r="54" spans="1:9" ht="12.75">
      <c r="A54" s="227"/>
      <c r="B54" s="51" t="s">
        <v>480</v>
      </c>
      <c r="C54" s="212" t="s">
        <v>61</v>
      </c>
      <c r="D54" s="220">
        <f>64+80+3</f>
        <v>147</v>
      </c>
      <c r="E54" s="215">
        <v>1</v>
      </c>
      <c r="F54" s="215">
        <v>1</v>
      </c>
      <c r="G54" s="300">
        <f t="shared" si="0"/>
        <v>147</v>
      </c>
      <c r="H54" s="291">
        <f t="shared" si="1"/>
        <v>2960.822701864185</v>
      </c>
      <c r="I54" s="51"/>
    </row>
    <row r="55" spans="1:9" ht="12.75">
      <c r="A55" s="227"/>
      <c r="B55" s="51" t="s">
        <v>481</v>
      </c>
      <c r="C55" s="212" t="s">
        <v>61</v>
      </c>
      <c r="D55" s="220">
        <f>48+4</f>
        <v>52</v>
      </c>
      <c r="E55" s="215">
        <v>1</v>
      </c>
      <c r="F55" s="215">
        <v>1</v>
      </c>
      <c r="G55" s="300">
        <f aca="true" t="shared" si="2" ref="G55:G85">D55*E55*F55</f>
        <v>52</v>
      </c>
      <c r="H55" s="291">
        <f aca="true" t="shared" si="3" ref="H55:H85">790730/39258.45*G55</f>
        <v>1047.365853720664</v>
      </c>
      <c r="I55" s="51"/>
    </row>
    <row r="56" spans="1:9" ht="12.75">
      <c r="A56" s="227"/>
      <c r="B56" s="51" t="s">
        <v>503</v>
      </c>
      <c r="C56" s="212" t="s">
        <v>61</v>
      </c>
      <c r="D56" s="220">
        <f>96+4</f>
        <v>100</v>
      </c>
      <c r="E56" s="215">
        <v>1</v>
      </c>
      <c r="F56" s="215">
        <v>1</v>
      </c>
      <c r="G56" s="300">
        <f t="shared" si="2"/>
        <v>100</v>
      </c>
      <c r="H56" s="291">
        <f t="shared" si="3"/>
        <v>2014.1651033089695</v>
      </c>
      <c r="I56" s="51"/>
    </row>
    <row r="57" spans="1:9" ht="12.75">
      <c r="A57" s="227"/>
      <c r="B57" s="51" t="s">
        <v>484</v>
      </c>
      <c r="C57" s="212" t="s">
        <v>61</v>
      </c>
      <c r="D57" s="220">
        <f>96+144</f>
        <v>240</v>
      </c>
      <c r="E57" s="215">
        <v>1</v>
      </c>
      <c r="F57" s="215">
        <v>1</v>
      </c>
      <c r="G57" s="300">
        <f t="shared" si="2"/>
        <v>240</v>
      </c>
      <c r="H57" s="291">
        <f t="shared" si="3"/>
        <v>4833.996247941526</v>
      </c>
      <c r="I57" s="51"/>
    </row>
    <row r="58" spans="1:9" ht="25.5">
      <c r="A58" s="227">
        <v>13</v>
      </c>
      <c r="B58" s="226" t="s">
        <v>50</v>
      </c>
      <c r="C58" s="212"/>
      <c r="D58" s="212"/>
      <c r="E58" s="215"/>
      <c r="F58" s="215"/>
      <c r="G58" s="300">
        <f t="shared" si="2"/>
        <v>0</v>
      </c>
      <c r="H58" s="291">
        <f t="shared" si="3"/>
        <v>0</v>
      </c>
      <c r="I58" s="51"/>
    </row>
    <row r="59" spans="1:9" ht="12.75">
      <c r="A59" s="51"/>
      <c r="B59" s="51" t="s">
        <v>30</v>
      </c>
      <c r="C59" s="212" t="s">
        <v>53</v>
      </c>
      <c r="D59" s="222">
        <f>12000/100</f>
        <v>120</v>
      </c>
      <c r="E59" s="216">
        <v>24</v>
      </c>
      <c r="F59" s="216">
        <v>0.23</v>
      </c>
      <c r="G59" s="300">
        <f t="shared" si="2"/>
        <v>662.4</v>
      </c>
      <c r="H59" s="291">
        <f t="shared" si="3"/>
        <v>13341.829644318614</v>
      </c>
      <c r="I59" s="51"/>
    </row>
    <row r="60" spans="1:9" ht="12.75">
      <c r="A60" s="227"/>
      <c r="B60" s="51" t="s">
        <v>31</v>
      </c>
      <c r="C60" s="212" t="s">
        <v>53</v>
      </c>
      <c r="D60" s="222">
        <f>6500/100</f>
        <v>65</v>
      </c>
      <c r="E60" s="216">
        <v>24</v>
      </c>
      <c r="F60" s="216">
        <v>0.23</v>
      </c>
      <c r="G60" s="300">
        <f t="shared" si="2"/>
        <v>358.8</v>
      </c>
      <c r="H60" s="291">
        <f t="shared" si="3"/>
        <v>7226.824390672582</v>
      </c>
      <c r="I60" s="51"/>
    </row>
    <row r="61" spans="1:9" ht="12.75">
      <c r="A61" s="227"/>
      <c r="B61" s="51" t="s">
        <v>32</v>
      </c>
      <c r="C61" s="212" t="s">
        <v>53</v>
      </c>
      <c r="D61" s="212">
        <f>5166/100</f>
        <v>51.66</v>
      </c>
      <c r="E61" s="216">
        <v>24</v>
      </c>
      <c r="F61" s="216">
        <v>0.23</v>
      </c>
      <c r="G61" s="300">
        <f t="shared" si="2"/>
        <v>285.1632</v>
      </c>
      <c r="H61" s="291">
        <f t="shared" si="3"/>
        <v>5743.657661879163</v>
      </c>
      <c r="I61" s="51"/>
    </row>
    <row r="62" spans="1:9" ht="12.75">
      <c r="A62" s="227"/>
      <c r="B62" s="51" t="s">
        <v>33</v>
      </c>
      <c r="C62" s="212" t="s">
        <v>53</v>
      </c>
      <c r="D62" s="212">
        <f>1050/100</f>
        <v>10.5</v>
      </c>
      <c r="E62" s="216">
        <v>24</v>
      </c>
      <c r="F62" s="216">
        <v>0.23</v>
      </c>
      <c r="G62" s="300">
        <f t="shared" si="2"/>
        <v>57.96</v>
      </c>
      <c r="H62" s="291">
        <f t="shared" si="3"/>
        <v>1167.4100938778786</v>
      </c>
      <c r="I62" s="51"/>
    </row>
    <row r="63" spans="1:9" ht="12.75">
      <c r="A63" s="227"/>
      <c r="B63" s="51" t="s">
        <v>34</v>
      </c>
      <c r="C63" s="212" t="s">
        <v>53</v>
      </c>
      <c r="D63" s="212">
        <v>70.26</v>
      </c>
      <c r="E63" s="216">
        <v>24</v>
      </c>
      <c r="F63" s="216">
        <v>0.23</v>
      </c>
      <c r="G63" s="300">
        <f t="shared" si="2"/>
        <v>387.83520000000004</v>
      </c>
      <c r="H63" s="291">
        <f t="shared" si="3"/>
        <v>7811.641256748549</v>
      </c>
      <c r="I63" s="51"/>
    </row>
    <row r="64" spans="1:9" ht="12.75">
      <c r="A64" s="227"/>
      <c r="B64" s="51" t="s">
        <v>35</v>
      </c>
      <c r="C64" s="212" t="s">
        <v>53</v>
      </c>
      <c r="D64" s="212">
        <v>40.26</v>
      </c>
      <c r="E64" s="216">
        <v>24</v>
      </c>
      <c r="F64" s="216">
        <v>0.23</v>
      </c>
      <c r="G64" s="300">
        <f t="shared" si="2"/>
        <v>222.23520000000002</v>
      </c>
      <c r="H64" s="291">
        <f t="shared" si="3"/>
        <v>4476.183845668896</v>
      </c>
      <c r="I64" s="51"/>
    </row>
    <row r="65" spans="1:9" ht="12.75">
      <c r="A65" s="227"/>
      <c r="B65" s="51" t="s">
        <v>36</v>
      </c>
      <c r="C65" s="212" t="s">
        <v>53</v>
      </c>
      <c r="D65" s="222">
        <v>66</v>
      </c>
      <c r="E65" s="216">
        <v>24</v>
      </c>
      <c r="F65" s="216">
        <v>0.23</v>
      </c>
      <c r="G65" s="300">
        <f t="shared" si="2"/>
        <v>364.32</v>
      </c>
      <c r="H65" s="291">
        <f t="shared" si="3"/>
        <v>7338.006304375237</v>
      </c>
      <c r="I65" s="51"/>
    </row>
    <row r="66" spans="1:9" ht="12.75">
      <c r="A66" s="227"/>
      <c r="B66" s="51" t="s">
        <v>37</v>
      </c>
      <c r="C66" s="212" t="s">
        <v>53</v>
      </c>
      <c r="D66" s="222">
        <v>19.8</v>
      </c>
      <c r="E66" s="216">
        <v>24</v>
      </c>
      <c r="F66" s="216">
        <v>0.23</v>
      </c>
      <c r="G66" s="300">
        <f t="shared" si="2"/>
        <v>109.29600000000002</v>
      </c>
      <c r="H66" s="291">
        <f t="shared" si="3"/>
        <v>2201.4018913125715</v>
      </c>
      <c r="I66" s="51"/>
    </row>
    <row r="67" spans="1:9" ht="12.75">
      <c r="A67" s="227"/>
      <c r="B67" s="51" t="s">
        <v>38</v>
      </c>
      <c r="C67" s="212" t="s">
        <v>53</v>
      </c>
      <c r="D67" s="212">
        <v>28.8</v>
      </c>
      <c r="E67" s="216">
        <v>24</v>
      </c>
      <c r="F67" s="216">
        <v>0.23</v>
      </c>
      <c r="G67" s="300">
        <f t="shared" si="2"/>
        <v>158.97600000000003</v>
      </c>
      <c r="H67" s="291">
        <f t="shared" si="3"/>
        <v>3202.0391146364677</v>
      </c>
      <c r="I67" s="51"/>
    </row>
    <row r="68" spans="1:9" ht="12.75">
      <c r="A68" s="227"/>
      <c r="B68" s="51" t="s">
        <v>39</v>
      </c>
      <c r="C68" s="212" t="s">
        <v>53</v>
      </c>
      <c r="D68" s="222">
        <v>20</v>
      </c>
      <c r="E68" s="216">
        <v>24</v>
      </c>
      <c r="F68" s="216">
        <v>0.23</v>
      </c>
      <c r="G68" s="300">
        <f t="shared" si="2"/>
        <v>110.4</v>
      </c>
      <c r="H68" s="291">
        <f t="shared" si="3"/>
        <v>2223.638274053102</v>
      </c>
      <c r="I68" s="51"/>
    </row>
    <row r="69" spans="1:9" ht="12.75">
      <c r="A69" s="227"/>
      <c r="B69" s="51" t="s">
        <v>54</v>
      </c>
      <c r="C69" s="212" t="s">
        <v>53</v>
      </c>
      <c r="D69" s="212">
        <v>36.68</v>
      </c>
      <c r="E69" s="216">
        <v>24</v>
      </c>
      <c r="F69" s="216">
        <v>0.23</v>
      </c>
      <c r="G69" s="300">
        <f t="shared" si="2"/>
        <v>202.4736</v>
      </c>
      <c r="H69" s="291">
        <f t="shared" si="3"/>
        <v>4078.1525946133897</v>
      </c>
      <c r="I69" s="51"/>
    </row>
    <row r="70" spans="1:9" ht="12.75">
      <c r="A70" s="227"/>
      <c r="B70" s="51" t="s">
        <v>55</v>
      </c>
      <c r="C70" s="212" t="s">
        <v>53</v>
      </c>
      <c r="D70" s="212">
        <v>11.57</v>
      </c>
      <c r="E70" s="216">
        <v>24</v>
      </c>
      <c r="F70" s="216">
        <v>0.23</v>
      </c>
      <c r="G70" s="300">
        <f t="shared" si="2"/>
        <v>63.866400000000006</v>
      </c>
      <c r="H70" s="291">
        <f t="shared" si="3"/>
        <v>1286.3747415397197</v>
      </c>
      <c r="I70" s="51"/>
    </row>
    <row r="71" spans="1:9" ht="12.75">
      <c r="A71" s="227"/>
      <c r="B71" s="51" t="s">
        <v>56</v>
      </c>
      <c r="C71" s="212" t="s">
        <v>53</v>
      </c>
      <c r="D71" s="212">
        <v>11.42</v>
      </c>
      <c r="E71" s="216">
        <v>24</v>
      </c>
      <c r="F71" s="216">
        <v>0.23</v>
      </c>
      <c r="G71" s="300">
        <f t="shared" si="2"/>
        <v>63.038399999999996</v>
      </c>
      <c r="H71" s="291">
        <f t="shared" si="3"/>
        <v>1269.6974544843213</v>
      </c>
      <c r="I71" s="51"/>
    </row>
    <row r="72" spans="1:9" ht="12.75">
      <c r="A72" s="227"/>
      <c r="B72" s="51" t="s">
        <v>41</v>
      </c>
      <c r="C72" s="212" t="s">
        <v>53</v>
      </c>
      <c r="D72" s="212">
        <v>17.5</v>
      </c>
      <c r="E72" s="216">
        <v>24</v>
      </c>
      <c r="F72" s="216">
        <v>0.23</v>
      </c>
      <c r="G72" s="300">
        <f t="shared" si="2"/>
        <v>96.60000000000001</v>
      </c>
      <c r="H72" s="291">
        <f t="shared" si="3"/>
        <v>1945.6834897964645</v>
      </c>
      <c r="I72" s="51"/>
    </row>
    <row r="73" spans="1:9" ht="12.75">
      <c r="A73" s="227"/>
      <c r="B73" s="51" t="s">
        <v>42</v>
      </c>
      <c r="C73" s="212" t="s">
        <v>53</v>
      </c>
      <c r="D73" s="212">
        <f>595/100</f>
        <v>5.95</v>
      </c>
      <c r="E73" s="216">
        <v>24</v>
      </c>
      <c r="F73" s="216">
        <v>0.23</v>
      </c>
      <c r="G73" s="300">
        <f t="shared" si="2"/>
        <v>32.844</v>
      </c>
      <c r="H73" s="291">
        <f t="shared" si="3"/>
        <v>661.5323865307979</v>
      </c>
      <c r="I73" s="51"/>
    </row>
    <row r="74" spans="1:9" ht="25.5">
      <c r="A74" s="227">
        <v>14</v>
      </c>
      <c r="B74" s="226" t="s">
        <v>519</v>
      </c>
      <c r="C74" s="212"/>
      <c r="D74" s="212"/>
      <c r="E74" s="216"/>
      <c r="F74" s="216"/>
      <c r="G74" s="300">
        <f t="shared" si="2"/>
        <v>0</v>
      </c>
      <c r="H74" s="291">
        <f t="shared" si="3"/>
        <v>0</v>
      </c>
      <c r="I74" s="51"/>
    </row>
    <row r="75" spans="1:9" ht="12.75">
      <c r="A75" s="227"/>
      <c r="B75" s="51" t="s">
        <v>347</v>
      </c>
      <c r="C75" s="212" t="s">
        <v>53</v>
      </c>
      <c r="D75" s="212">
        <v>194.25</v>
      </c>
      <c r="E75" s="243">
        <v>24</v>
      </c>
      <c r="F75" s="243">
        <v>0.23</v>
      </c>
      <c r="G75" s="300">
        <f t="shared" si="2"/>
        <v>1072.26</v>
      </c>
      <c r="H75" s="291">
        <f t="shared" si="3"/>
        <v>21597.086736740755</v>
      </c>
      <c r="I75" s="51"/>
    </row>
    <row r="76" spans="1:9" ht="12.75">
      <c r="A76" s="227"/>
      <c r="B76" s="51" t="s">
        <v>348</v>
      </c>
      <c r="C76" s="212" t="s">
        <v>53</v>
      </c>
      <c r="D76" s="212">
        <v>272.02</v>
      </c>
      <c r="E76" s="243">
        <v>24</v>
      </c>
      <c r="F76" s="243">
        <v>0.23</v>
      </c>
      <c r="G76" s="300">
        <f t="shared" si="2"/>
        <v>1501.5503999999999</v>
      </c>
      <c r="H76" s="291">
        <f t="shared" si="3"/>
        <v>30243.70416539624</v>
      </c>
      <c r="I76" s="51"/>
    </row>
    <row r="77" spans="1:9" ht="12.75">
      <c r="A77" s="227"/>
      <c r="B77" s="51" t="s">
        <v>349</v>
      </c>
      <c r="C77" s="212" t="s">
        <v>53</v>
      </c>
      <c r="D77" s="212">
        <v>112.38</v>
      </c>
      <c r="E77" s="243">
        <v>24</v>
      </c>
      <c r="F77" s="243">
        <v>0.23</v>
      </c>
      <c r="G77" s="300">
        <f t="shared" si="2"/>
        <v>620.3376</v>
      </c>
      <c r="H77" s="291">
        <f t="shared" si="3"/>
        <v>12494.62346190438</v>
      </c>
      <c r="I77" s="51"/>
    </row>
    <row r="78" spans="1:9" ht="12.75">
      <c r="A78" s="227"/>
      <c r="B78" s="51" t="s">
        <v>350</v>
      </c>
      <c r="C78" s="212" t="s">
        <v>53</v>
      </c>
      <c r="D78" s="212">
        <v>182.48</v>
      </c>
      <c r="E78" s="243">
        <v>24</v>
      </c>
      <c r="F78" s="243">
        <v>0.23</v>
      </c>
      <c r="G78" s="300">
        <f t="shared" si="2"/>
        <v>1007.2896</v>
      </c>
      <c r="H78" s="291">
        <f t="shared" si="3"/>
        <v>20288.475612460505</v>
      </c>
      <c r="I78" s="51"/>
    </row>
    <row r="79" spans="1:9" ht="25.5">
      <c r="A79" s="227">
        <v>15</v>
      </c>
      <c r="B79" s="249" t="s">
        <v>351</v>
      </c>
      <c r="C79" s="224" t="s">
        <v>53</v>
      </c>
      <c r="D79" s="224">
        <v>61.18</v>
      </c>
      <c r="E79" s="215">
        <v>20</v>
      </c>
      <c r="F79" s="215">
        <v>1.43</v>
      </c>
      <c r="G79" s="300">
        <f t="shared" si="2"/>
        <v>1749.7479999999998</v>
      </c>
      <c r="H79" s="291">
        <f t="shared" si="3"/>
        <v>35242.81361184662</v>
      </c>
      <c r="I79" s="51"/>
    </row>
    <row r="80" spans="1:9" ht="12.75">
      <c r="A80" s="227">
        <v>16</v>
      </c>
      <c r="B80" s="51" t="s">
        <v>59</v>
      </c>
      <c r="C80" s="212" t="s">
        <v>225</v>
      </c>
      <c r="D80" s="212">
        <v>100</v>
      </c>
      <c r="E80" s="215">
        <v>1</v>
      </c>
      <c r="F80" s="215">
        <v>1.35</v>
      </c>
      <c r="G80" s="300">
        <f t="shared" si="2"/>
        <v>135</v>
      </c>
      <c r="H80" s="291">
        <f t="shared" si="3"/>
        <v>2719.1228894671085</v>
      </c>
      <c r="I80" s="51"/>
    </row>
    <row r="81" spans="1:9" ht="25.5">
      <c r="A81" s="227">
        <v>17</v>
      </c>
      <c r="B81" s="268" t="s">
        <v>550</v>
      </c>
      <c r="C81" s="224" t="s">
        <v>53</v>
      </c>
      <c r="D81" s="224">
        <v>8.5</v>
      </c>
      <c r="E81" s="247">
        <v>20</v>
      </c>
      <c r="F81" s="247">
        <v>1.43</v>
      </c>
      <c r="G81" s="300">
        <f t="shared" si="2"/>
        <v>243.1</v>
      </c>
      <c r="H81" s="291">
        <f t="shared" si="3"/>
        <v>4896.435366144105</v>
      </c>
      <c r="I81" s="51"/>
    </row>
    <row r="82" spans="1:9" ht="12.75">
      <c r="A82" s="227">
        <v>18</v>
      </c>
      <c r="B82" s="268" t="s">
        <v>518</v>
      </c>
      <c r="C82" s="212"/>
      <c r="D82" s="212"/>
      <c r="E82" s="215"/>
      <c r="F82" s="215"/>
      <c r="G82" s="300">
        <f t="shared" si="2"/>
        <v>0</v>
      </c>
      <c r="H82" s="291">
        <f t="shared" si="3"/>
        <v>0</v>
      </c>
      <c r="I82" s="51"/>
    </row>
    <row r="83" spans="1:9" ht="12.75">
      <c r="A83" s="227"/>
      <c r="B83" s="51" t="s">
        <v>41</v>
      </c>
      <c r="C83" s="212" t="s">
        <v>53</v>
      </c>
      <c r="D83" s="212">
        <v>17.5</v>
      </c>
      <c r="E83" s="215">
        <v>10</v>
      </c>
      <c r="F83" s="215">
        <v>1.43</v>
      </c>
      <c r="G83" s="300">
        <f t="shared" si="2"/>
        <v>250.25</v>
      </c>
      <c r="H83" s="291">
        <f t="shared" si="3"/>
        <v>5040.448171030696</v>
      </c>
      <c r="I83" s="51"/>
    </row>
    <row r="84" spans="1:9" ht="12.75">
      <c r="A84" s="227"/>
      <c r="B84" s="51" t="s">
        <v>42</v>
      </c>
      <c r="C84" s="212" t="s">
        <v>53</v>
      </c>
      <c r="D84" s="212">
        <v>5.95</v>
      </c>
      <c r="E84" s="215">
        <v>10</v>
      </c>
      <c r="F84" s="215">
        <v>1.43</v>
      </c>
      <c r="G84" s="300">
        <f t="shared" si="2"/>
        <v>85.085</v>
      </c>
      <c r="H84" s="291">
        <f t="shared" si="3"/>
        <v>1713.7523781504365</v>
      </c>
      <c r="I84" s="51"/>
    </row>
    <row r="85" spans="1:9" ht="12.75">
      <c r="A85" s="227">
        <v>19</v>
      </c>
      <c r="B85" s="301" t="s">
        <v>412</v>
      </c>
      <c r="C85" s="212" t="s">
        <v>61</v>
      </c>
      <c r="D85" s="212">
        <f>24*6</f>
        <v>144</v>
      </c>
      <c r="E85" s="212">
        <v>1</v>
      </c>
      <c r="F85" s="212">
        <v>36</v>
      </c>
      <c r="G85" s="300">
        <f t="shared" si="2"/>
        <v>5184</v>
      </c>
      <c r="H85" s="291">
        <f t="shared" si="3"/>
        <v>104414.31895553698</v>
      </c>
      <c r="I85" s="51"/>
    </row>
    <row r="86" spans="1:9" ht="12.75">
      <c r="A86" s="227"/>
      <c r="B86" s="47" t="s">
        <v>413</v>
      </c>
      <c r="C86" s="51"/>
      <c r="D86" s="212"/>
      <c r="E86" s="212"/>
      <c r="F86" s="212"/>
      <c r="G86" s="288">
        <f>SUM(G23:G85)</f>
        <v>35331.054919999995</v>
      </c>
      <c r="H86" s="299">
        <f>SUM(H23:H85)</f>
        <v>711625.7788295667</v>
      </c>
      <c r="I86" s="51"/>
    </row>
    <row r="87" spans="1:9" ht="12.75">
      <c r="A87" s="227"/>
      <c r="B87" s="396" t="s">
        <v>15</v>
      </c>
      <c r="C87" s="397"/>
      <c r="D87" s="397"/>
      <c r="E87" s="397"/>
      <c r="F87" s="397"/>
      <c r="G87" s="397"/>
      <c r="H87" s="397"/>
      <c r="I87" s="398"/>
    </row>
    <row r="88" spans="1:9" ht="12.75">
      <c r="A88" s="227">
        <v>20</v>
      </c>
      <c r="B88" s="47" t="s">
        <v>539</v>
      </c>
      <c r="C88" s="215"/>
      <c r="D88" s="205"/>
      <c r="E88" s="215"/>
      <c r="F88" s="215"/>
      <c r="G88" s="260"/>
      <c r="H88" s="291"/>
      <c r="I88" s="51"/>
    </row>
    <row r="89" spans="1:9" ht="12.75">
      <c r="A89" s="227"/>
      <c r="B89" s="244" t="s">
        <v>537</v>
      </c>
      <c r="C89" s="215" t="s">
        <v>53</v>
      </c>
      <c r="D89" s="215">
        <v>5.03</v>
      </c>
      <c r="E89" s="215">
        <v>16</v>
      </c>
      <c r="F89" s="215">
        <v>1.43</v>
      </c>
      <c r="G89" s="300">
        <f>D89*E89*F89</f>
        <v>115.0864</v>
      </c>
      <c r="H89" s="291">
        <f aca="true" t="shared" si="4" ref="H89:H94">790730/39258.45*G89</f>
        <v>2318.0301074545737</v>
      </c>
      <c r="I89" s="51"/>
    </row>
    <row r="90" spans="1:9" ht="12.75">
      <c r="A90" s="227"/>
      <c r="B90" s="244" t="s">
        <v>538</v>
      </c>
      <c r="C90" s="215" t="s">
        <v>53</v>
      </c>
      <c r="D90" s="215">
        <v>1.56</v>
      </c>
      <c r="E90" s="215">
        <v>16</v>
      </c>
      <c r="F90" s="215">
        <v>1.43</v>
      </c>
      <c r="G90" s="300">
        <f>D90*E90*F90</f>
        <v>35.6928</v>
      </c>
      <c r="H90" s="291">
        <f t="shared" si="4"/>
        <v>718.9119219938638</v>
      </c>
      <c r="I90" s="51"/>
    </row>
    <row r="91" spans="1:9" ht="12.75">
      <c r="A91" s="227">
        <v>21</v>
      </c>
      <c r="B91" s="283" t="s">
        <v>536</v>
      </c>
      <c r="C91" s="215"/>
      <c r="D91" s="205"/>
      <c r="E91" s="215"/>
      <c r="F91" s="215"/>
      <c r="G91" s="261"/>
      <c r="H91" s="291">
        <f t="shared" si="4"/>
        <v>0</v>
      </c>
      <c r="I91" s="51"/>
    </row>
    <row r="92" spans="1:9" ht="12.75">
      <c r="A92" s="227"/>
      <c r="B92" s="47" t="s">
        <v>535</v>
      </c>
      <c r="C92" s="215"/>
      <c r="D92" s="205"/>
      <c r="E92" s="215"/>
      <c r="F92" s="215"/>
      <c r="G92" s="261"/>
      <c r="H92" s="291">
        <f t="shared" si="4"/>
        <v>0</v>
      </c>
      <c r="I92" s="51"/>
    </row>
    <row r="93" spans="1:9" ht="12.75">
      <c r="A93" s="227"/>
      <c r="B93" s="244" t="s">
        <v>537</v>
      </c>
      <c r="C93" s="215" t="s">
        <v>65</v>
      </c>
      <c r="D93" s="221">
        <v>30</v>
      </c>
      <c r="E93" s="215">
        <v>20</v>
      </c>
      <c r="F93" s="215">
        <v>0.47</v>
      </c>
      <c r="G93" s="261">
        <f>D93*E93*F93</f>
        <v>282</v>
      </c>
      <c r="H93" s="291">
        <f t="shared" si="4"/>
        <v>5679.945591331294</v>
      </c>
      <c r="I93" s="51"/>
    </row>
    <row r="94" spans="1:9" ht="12.75">
      <c r="A94" s="227"/>
      <c r="B94" s="244" t="s">
        <v>538</v>
      </c>
      <c r="C94" s="215" t="s">
        <v>65</v>
      </c>
      <c r="D94" s="221">
        <v>14.64</v>
      </c>
      <c r="E94" s="215">
        <v>20</v>
      </c>
      <c r="F94" s="215">
        <v>0.47</v>
      </c>
      <c r="G94" s="261">
        <f>D94*E94*F94</f>
        <v>137.61599999999999</v>
      </c>
      <c r="H94" s="291">
        <f t="shared" si="4"/>
        <v>2771.813448569671</v>
      </c>
      <c r="I94" s="51"/>
    </row>
    <row r="95" spans="1:9" ht="12.75">
      <c r="A95" s="227"/>
      <c r="B95" s="283" t="s">
        <v>413</v>
      </c>
      <c r="C95" s="205"/>
      <c r="D95" s="234"/>
      <c r="E95" s="205"/>
      <c r="F95" s="205"/>
      <c r="G95" s="288">
        <f>SUM(G89:G94)</f>
        <v>570.3951999999999</v>
      </c>
      <c r="H95" s="299">
        <f>SUM(H89:H94)</f>
        <v>11488.701069349401</v>
      </c>
      <c r="I95" s="47"/>
    </row>
    <row r="96" spans="1:248" s="292" customFormat="1" ht="12.75">
      <c r="A96" s="298">
        <v>22</v>
      </c>
      <c r="B96" s="297" t="s">
        <v>506</v>
      </c>
      <c r="C96" s="274"/>
      <c r="D96" s="256"/>
      <c r="E96" s="296"/>
      <c r="F96" s="296"/>
      <c r="G96" s="289" t="s">
        <v>476</v>
      </c>
      <c r="H96" s="295"/>
      <c r="I96" s="256"/>
      <c r="J96" s="294"/>
      <c r="M96" s="293"/>
      <c r="N96" s="293"/>
      <c r="O96" s="293"/>
      <c r="P96" s="293"/>
      <c r="Q96" s="192"/>
      <c r="R96" s="294"/>
      <c r="U96" s="293"/>
      <c r="V96" s="293"/>
      <c r="W96" s="293"/>
      <c r="X96" s="293"/>
      <c r="Y96" s="192"/>
      <c r="Z96" s="294"/>
      <c r="AC96" s="293"/>
      <c r="AD96" s="293"/>
      <c r="AE96" s="293"/>
      <c r="AF96" s="293"/>
      <c r="AG96" s="192"/>
      <c r="AH96" s="294"/>
      <c r="AK96" s="293"/>
      <c r="AL96" s="293"/>
      <c r="AM96" s="293"/>
      <c r="AN96" s="293"/>
      <c r="AO96" s="192"/>
      <c r="AP96" s="294"/>
      <c r="AS96" s="293"/>
      <c r="AT96" s="293"/>
      <c r="AU96" s="293"/>
      <c r="AV96" s="293"/>
      <c r="AW96" s="192"/>
      <c r="AX96" s="294"/>
      <c r="BA96" s="293"/>
      <c r="BB96" s="293"/>
      <c r="BC96" s="293"/>
      <c r="BD96" s="293"/>
      <c r="BE96" s="192"/>
      <c r="BF96" s="294"/>
      <c r="BI96" s="293"/>
      <c r="BJ96" s="293"/>
      <c r="BK96" s="293"/>
      <c r="BL96" s="293"/>
      <c r="BM96" s="192"/>
      <c r="BN96" s="294"/>
      <c r="BQ96" s="293"/>
      <c r="BR96" s="293"/>
      <c r="BS96" s="293"/>
      <c r="BT96" s="293"/>
      <c r="BU96" s="192"/>
      <c r="BV96" s="294"/>
      <c r="BY96" s="293"/>
      <c r="BZ96" s="293"/>
      <c r="CA96" s="293"/>
      <c r="CB96" s="293"/>
      <c r="CC96" s="192"/>
      <c r="CD96" s="294"/>
      <c r="CG96" s="293"/>
      <c r="CH96" s="293"/>
      <c r="CI96" s="293"/>
      <c r="CJ96" s="293"/>
      <c r="CK96" s="192"/>
      <c r="CL96" s="294"/>
      <c r="CO96" s="293"/>
      <c r="CP96" s="293"/>
      <c r="CQ96" s="293"/>
      <c r="CR96" s="293"/>
      <c r="CS96" s="192"/>
      <c r="CT96" s="294"/>
      <c r="CW96" s="293"/>
      <c r="CX96" s="293"/>
      <c r="CY96" s="293"/>
      <c r="CZ96" s="293"/>
      <c r="DA96" s="192"/>
      <c r="DB96" s="294"/>
      <c r="DE96" s="293"/>
      <c r="DF96" s="293"/>
      <c r="DG96" s="293"/>
      <c r="DH96" s="293"/>
      <c r="DI96" s="192"/>
      <c r="DJ96" s="294"/>
      <c r="DM96" s="293"/>
      <c r="DN96" s="293"/>
      <c r="DO96" s="293"/>
      <c r="DP96" s="293"/>
      <c r="DQ96" s="192"/>
      <c r="DR96" s="294"/>
      <c r="DU96" s="293"/>
      <c r="DV96" s="293"/>
      <c r="DW96" s="293"/>
      <c r="DX96" s="293"/>
      <c r="DY96" s="192"/>
      <c r="DZ96" s="294"/>
      <c r="EC96" s="293"/>
      <c r="ED96" s="293"/>
      <c r="EE96" s="293"/>
      <c r="EF96" s="293"/>
      <c r="EG96" s="192"/>
      <c r="EH96" s="294"/>
      <c r="EK96" s="293"/>
      <c r="EL96" s="293"/>
      <c r="EM96" s="293"/>
      <c r="EN96" s="293"/>
      <c r="EO96" s="192"/>
      <c r="EP96" s="294"/>
      <c r="ES96" s="293"/>
      <c r="ET96" s="293"/>
      <c r="EU96" s="293"/>
      <c r="EV96" s="293"/>
      <c r="EW96" s="192"/>
      <c r="EX96" s="294"/>
      <c r="FA96" s="293"/>
      <c r="FB96" s="293"/>
      <c r="FC96" s="293"/>
      <c r="FD96" s="293"/>
      <c r="FE96" s="192"/>
      <c r="FF96" s="294"/>
      <c r="FI96" s="293"/>
      <c r="FJ96" s="293"/>
      <c r="FK96" s="293"/>
      <c r="FL96" s="293"/>
      <c r="FM96" s="192"/>
      <c r="FN96" s="294"/>
      <c r="FQ96" s="293"/>
      <c r="FR96" s="293"/>
      <c r="FS96" s="293"/>
      <c r="FT96" s="293"/>
      <c r="FU96" s="192"/>
      <c r="FV96" s="294"/>
      <c r="FY96" s="293"/>
      <c r="FZ96" s="293"/>
      <c r="GA96" s="293"/>
      <c r="GB96" s="293"/>
      <c r="GC96" s="192"/>
      <c r="GD96" s="294"/>
      <c r="GG96" s="293"/>
      <c r="GH96" s="293"/>
      <c r="GI96" s="293"/>
      <c r="GJ96" s="293"/>
      <c r="GK96" s="192"/>
      <c r="GL96" s="294"/>
      <c r="GO96" s="293"/>
      <c r="GP96" s="293"/>
      <c r="GQ96" s="293"/>
      <c r="GR96" s="293"/>
      <c r="GS96" s="192"/>
      <c r="GT96" s="294"/>
      <c r="GW96" s="293"/>
      <c r="GX96" s="293"/>
      <c r="GY96" s="293"/>
      <c r="GZ96" s="293"/>
      <c r="HA96" s="192"/>
      <c r="HB96" s="294"/>
      <c r="HE96" s="293"/>
      <c r="HF96" s="293"/>
      <c r="HG96" s="293"/>
      <c r="HH96" s="293"/>
      <c r="HI96" s="192"/>
      <c r="HJ96" s="294"/>
      <c r="HM96" s="293"/>
      <c r="HN96" s="293"/>
      <c r="HO96" s="293"/>
      <c r="HP96" s="293"/>
      <c r="HQ96" s="192"/>
      <c r="HR96" s="294"/>
      <c r="HU96" s="293"/>
      <c r="HV96" s="293"/>
      <c r="HW96" s="293"/>
      <c r="HX96" s="293"/>
      <c r="HY96" s="192"/>
      <c r="HZ96" s="294"/>
      <c r="IC96" s="293"/>
      <c r="ID96" s="293"/>
      <c r="IE96" s="293"/>
      <c r="IF96" s="293"/>
      <c r="IG96" s="192"/>
      <c r="IH96" s="294"/>
      <c r="IK96" s="293"/>
      <c r="IL96" s="293"/>
      <c r="IM96" s="293"/>
      <c r="IN96" s="293"/>
    </row>
    <row r="97" spans="1:248" s="188" customFormat="1" ht="12.75">
      <c r="A97" s="227"/>
      <c r="B97" s="266" t="s">
        <v>465</v>
      </c>
      <c r="C97" s="290" t="s">
        <v>476</v>
      </c>
      <c r="D97" s="210">
        <f>211+50</f>
        <v>261</v>
      </c>
      <c r="E97" s="247">
        <v>1</v>
      </c>
      <c r="F97" s="247">
        <v>1</v>
      </c>
      <c r="G97" s="210">
        <f>211+50</f>
        <v>261</v>
      </c>
      <c r="H97" s="291">
        <f aca="true" t="shared" si="5" ref="H97:H109">790730/39258.45*G97</f>
        <v>5256.97091963641</v>
      </c>
      <c r="I97" s="212"/>
      <c r="J97" s="281"/>
      <c r="K97" s="279"/>
      <c r="L97" s="279"/>
      <c r="M97" s="189"/>
      <c r="N97" s="189"/>
      <c r="O97" s="189"/>
      <c r="P97" s="189"/>
      <c r="Q97" s="194"/>
      <c r="R97" s="281"/>
      <c r="S97" s="279"/>
      <c r="T97" s="279"/>
      <c r="U97" s="189"/>
      <c r="V97" s="189"/>
      <c r="W97" s="189"/>
      <c r="X97" s="189"/>
      <c r="Y97" s="194"/>
      <c r="Z97" s="281"/>
      <c r="AA97" s="279"/>
      <c r="AB97" s="279"/>
      <c r="AC97" s="189"/>
      <c r="AD97" s="189"/>
      <c r="AE97" s="189"/>
      <c r="AF97" s="189"/>
      <c r="AG97" s="194"/>
      <c r="AH97" s="281"/>
      <c r="AI97" s="279"/>
      <c r="AJ97" s="279"/>
      <c r="AK97" s="189"/>
      <c r="AL97" s="189"/>
      <c r="AM97" s="189"/>
      <c r="AN97" s="189"/>
      <c r="AO97" s="194"/>
      <c r="AP97" s="281"/>
      <c r="AQ97" s="279"/>
      <c r="AR97" s="279"/>
      <c r="AS97" s="189"/>
      <c r="AT97" s="189"/>
      <c r="AU97" s="189"/>
      <c r="AV97" s="189"/>
      <c r="AW97" s="194"/>
      <c r="AX97" s="281"/>
      <c r="AY97" s="279"/>
      <c r="AZ97" s="279"/>
      <c r="BA97" s="189"/>
      <c r="BB97" s="189"/>
      <c r="BC97" s="189"/>
      <c r="BD97" s="189"/>
      <c r="BE97" s="194"/>
      <c r="BF97" s="281"/>
      <c r="BG97" s="279"/>
      <c r="BH97" s="279"/>
      <c r="BI97" s="189"/>
      <c r="BJ97" s="189"/>
      <c r="BK97" s="189"/>
      <c r="BL97" s="189"/>
      <c r="BM97" s="194"/>
      <c r="BN97" s="281"/>
      <c r="BO97" s="279"/>
      <c r="BP97" s="279"/>
      <c r="BQ97" s="189"/>
      <c r="BR97" s="189"/>
      <c r="BS97" s="189"/>
      <c r="BT97" s="189"/>
      <c r="BU97" s="194"/>
      <c r="BV97" s="281"/>
      <c r="BW97" s="279"/>
      <c r="BX97" s="279"/>
      <c r="BY97" s="189"/>
      <c r="BZ97" s="189"/>
      <c r="CA97" s="189"/>
      <c r="CB97" s="189"/>
      <c r="CC97" s="194"/>
      <c r="CD97" s="281"/>
      <c r="CE97" s="279"/>
      <c r="CF97" s="279"/>
      <c r="CG97" s="189"/>
      <c r="CH97" s="189"/>
      <c r="CI97" s="189"/>
      <c r="CJ97" s="189"/>
      <c r="CK97" s="194"/>
      <c r="CL97" s="281"/>
      <c r="CM97" s="279"/>
      <c r="CN97" s="279"/>
      <c r="CO97" s="189"/>
      <c r="CP97" s="189"/>
      <c r="CQ97" s="189"/>
      <c r="CR97" s="189"/>
      <c r="CS97" s="194"/>
      <c r="CT97" s="281"/>
      <c r="CU97" s="279"/>
      <c r="CV97" s="279"/>
      <c r="CW97" s="189"/>
      <c r="CX97" s="189"/>
      <c r="CY97" s="189"/>
      <c r="CZ97" s="189"/>
      <c r="DA97" s="194"/>
      <c r="DB97" s="281"/>
      <c r="DC97" s="279"/>
      <c r="DD97" s="279"/>
      <c r="DE97" s="189"/>
      <c r="DF97" s="189"/>
      <c r="DG97" s="189"/>
      <c r="DH97" s="189"/>
      <c r="DI97" s="194"/>
      <c r="DJ97" s="281"/>
      <c r="DK97" s="279"/>
      <c r="DL97" s="279"/>
      <c r="DM97" s="189"/>
      <c r="DN97" s="189"/>
      <c r="DO97" s="189"/>
      <c r="DP97" s="189"/>
      <c r="DQ97" s="194"/>
      <c r="DR97" s="281"/>
      <c r="DS97" s="279"/>
      <c r="DT97" s="279"/>
      <c r="DU97" s="189"/>
      <c r="DV97" s="189"/>
      <c r="DW97" s="189"/>
      <c r="DX97" s="189"/>
      <c r="DY97" s="194"/>
      <c r="DZ97" s="281"/>
      <c r="EA97" s="279"/>
      <c r="EB97" s="279"/>
      <c r="EC97" s="189"/>
      <c r="ED97" s="189"/>
      <c r="EE97" s="189"/>
      <c r="EF97" s="189"/>
      <c r="EG97" s="194"/>
      <c r="EH97" s="281"/>
      <c r="EI97" s="279"/>
      <c r="EJ97" s="279"/>
      <c r="EK97" s="189"/>
      <c r="EL97" s="189"/>
      <c r="EM97" s="189"/>
      <c r="EN97" s="189"/>
      <c r="EO97" s="194"/>
      <c r="EP97" s="281"/>
      <c r="EQ97" s="279"/>
      <c r="ER97" s="279"/>
      <c r="ES97" s="189"/>
      <c r="ET97" s="189"/>
      <c r="EU97" s="189"/>
      <c r="EV97" s="189"/>
      <c r="EW97" s="194"/>
      <c r="EX97" s="281"/>
      <c r="EY97" s="279"/>
      <c r="EZ97" s="279"/>
      <c r="FA97" s="189"/>
      <c r="FB97" s="189"/>
      <c r="FC97" s="189"/>
      <c r="FD97" s="189"/>
      <c r="FE97" s="194"/>
      <c r="FF97" s="281"/>
      <c r="FG97" s="279"/>
      <c r="FH97" s="279"/>
      <c r="FI97" s="189"/>
      <c r="FJ97" s="189"/>
      <c r="FK97" s="189"/>
      <c r="FL97" s="189"/>
      <c r="FM97" s="194"/>
      <c r="FN97" s="281"/>
      <c r="FO97" s="279"/>
      <c r="FP97" s="279"/>
      <c r="FQ97" s="189"/>
      <c r="FR97" s="189"/>
      <c r="FS97" s="189"/>
      <c r="FT97" s="189"/>
      <c r="FU97" s="194"/>
      <c r="FV97" s="281"/>
      <c r="FW97" s="279"/>
      <c r="FX97" s="279"/>
      <c r="FY97" s="189"/>
      <c r="FZ97" s="189"/>
      <c r="GA97" s="189"/>
      <c r="GB97" s="189"/>
      <c r="GC97" s="194"/>
      <c r="GD97" s="281"/>
      <c r="GE97" s="279"/>
      <c r="GF97" s="279"/>
      <c r="GG97" s="189"/>
      <c r="GH97" s="189"/>
      <c r="GI97" s="189"/>
      <c r="GJ97" s="189"/>
      <c r="GK97" s="194"/>
      <c r="GL97" s="281"/>
      <c r="GM97" s="279"/>
      <c r="GN97" s="279"/>
      <c r="GO97" s="189"/>
      <c r="GP97" s="189"/>
      <c r="GQ97" s="189"/>
      <c r="GR97" s="189"/>
      <c r="GS97" s="194"/>
      <c r="GT97" s="281"/>
      <c r="GU97" s="279"/>
      <c r="GV97" s="279"/>
      <c r="GW97" s="189"/>
      <c r="GX97" s="189"/>
      <c r="GY97" s="189"/>
      <c r="GZ97" s="189"/>
      <c r="HA97" s="194"/>
      <c r="HB97" s="281"/>
      <c r="HC97" s="279"/>
      <c r="HD97" s="279"/>
      <c r="HE97" s="189"/>
      <c r="HF97" s="189"/>
      <c r="HG97" s="189"/>
      <c r="HH97" s="189"/>
      <c r="HI97" s="194"/>
      <c r="HJ97" s="281"/>
      <c r="HK97" s="279"/>
      <c r="HL97" s="279"/>
      <c r="HM97" s="189"/>
      <c r="HN97" s="189"/>
      <c r="HO97" s="189"/>
      <c r="HP97" s="189"/>
      <c r="HQ97" s="194"/>
      <c r="HR97" s="281"/>
      <c r="HS97" s="279"/>
      <c r="HT97" s="279"/>
      <c r="HU97" s="189"/>
      <c r="HV97" s="189"/>
      <c r="HW97" s="189"/>
      <c r="HX97" s="189"/>
      <c r="HY97" s="194"/>
      <c r="HZ97" s="281"/>
      <c r="IA97" s="279"/>
      <c r="IB97" s="279"/>
      <c r="IC97" s="189"/>
      <c r="ID97" s="189"/>
      <c r="IE97" s="189"/>
      <c r="IF97" s="189"/>
      <c r="IG97" s="194"/>
      <c r="IH97" s="281"/>
      <c r="II97" s="279"/>
      <c r="IJ97" s="279"/>
      <c r="IK97" s="189"/>
      <c r="IL97" s="189"/>
      <c r="IM97" s="189"/>
      <c r="IN97" s="189"/>
    </row>
    <row r="98" spans="1:248" s="188" customFormat="1" ht="12.75">
      <c r="A98" s="227"/>
      <c r="B98" s="266" t="s">
        <v>466</v>
      </c>
      <c r="C98" s="290" t="s">
        <v>476</v>
      </c>
      <c r="D98" s="210">
        <f>708-240</f>
        <v>468</v>
      </c>
      <c r="E98" s="247">
        <v>1</v>
      </c>
      <c r="F98" s="247">
        <v>1</v>
      </c>
      <c r="G98" s="210">
        <f>708-240</f>
        <v>468</v>
      </c>
      <c r="H98" s="291">
        <f t="shared" si="5"/>
        <v>9426.292683485977</v>
      </c>
      <c r="I98" s="212"/>
      <c r="J98" s="281"/>
      <c r="K98" s="279"/>
      <c r="L98" s="279"/>
      <c r="M98" s="189"/>
      <c r="N98" s="189"/>
      <c r="O98" s="189"/>
      <c r="P98" s="189"/>
      <c r="Q98" s="194"/>
      <c r="R98" s="281"/>
      <c r="S98" s="279"/>
      <c r="T98" s="279"/>
      <c r="U98" s="189"/>
      <c r="V98" s="189"/>
      <c r="W98" s="189"/>
      <c r="X98" s="189"/>
      <c r="Y98" s="194"/>
      <c r="Z98" s="281"/>
      <c r="AA98" s="279"/>
      <c r="AB98" s="279"/>
      <c r="AC98" s="189"/>
      <c r="AD98" s="189"/>
      <c r="AE98" s="189"/>
      <c r="AF98" s="189"/>
      <c r="AG98" s="194"/>
      <c r="AH98" s="281"/>
      <c r="AI98" s="279"/>
      <c r="AJ98" s="279"/>
      <c r="AK98" s="189"/>
      <c r="AL98" s="189"/>
      <c r="AM98" s="189"/>
      <c r="AN98" s="189"/>
      <c r="AO98" s="194"/>
      <c r="AP98" s="281"/>
      <c r="AQ98" s="279"/>
      <c r="AR98" s="279"/>
      <c r="AS98" s="189"/>
      <c r="AT98" s="189"/>
      <c r="AU98" s="189"/>
      <c r="AV98" s="189"/>
      <c r="AW98" s="194"/>
      <c r="AX98" s="281"/>
      <c r="AY98" s="279"/>
      <c r="AZ98" s="279"/>
      <c r="BA98" s="189"/>
      <c r="BB98" s="189"/>
      <c r="BC98" s="189"/>
      <c r="BD98" s="189"/>
      <c r="BE98" s="194"/>
      <c r="BF98" s="281"/>
      <c r="BG98" s="279"/>
      <c r="BH98" s="279"/>
      <c r="BI98" s="189"/>
      <c r="BJ98" s="189"/>
      <c r="BK98" s="189"/>
      <c r="BL98" s="189"/>
      <c r="BM98" s="194"/>
      <c r="BN98" s="281"/>
      <c r="BO98" s="279"/>
      <c r="BP98" s="279"/>
      <c r="BQ98" s="189"/>
      <c r="BR98" s="189"/>
      <c r="BS98" s="189"/>
      <c r="BT98" s="189"/>
      <c r="BU98" s="194"/>
      <c r="BV98" s="281"/>
      <c r="BW98" s="279"/>
      <c r="BX98" s="279"/>
      <c r="BY98" s="189"/>
      <c r="BZ98" s="189"/>
      <c r="CA98" s="189"/>
      <c r="CB98" s="189"/>
      <c r="CC98" s="194"/>
      <c r="CD98" s="281"/>
      <c r="CE98" s="279"/>
      <c r="CF98" s="279"/>
      <c r="CG98" s="189"/>
      <c r="CH98" s="189"/>
      <c r="CI98" s="189"/>
      <c r="CJ98" s="189"/>
      <c r="CK98" s="194"/>
      <c r="CL98" s="281"/>
      <c r="CM98" s="279"/>
      <c r="CN98" s="279"/>
      <c r="CO98" s="189"/>
      <c r="CP98" s="189"/>
      <c r="CQ98" s="189"/>
      <c r="CR98" s="189"/>
      <c r="CS98" s="194"/>
      <c r="CT98" s="281"/>
      <c r="CU98" s="279"/>
      <c r="CV98" s="279"/>
      <c r="CW98" s="189"/>
      <c r="CX98" s="189"/>
      <c r="CY98" s="189"/>
      <c r="CZ98" s="189"/>
      <c r="DA98" s="194"/>
      <c r="DB98" s="281"/>
      <c r="DC98" s="279"/>
      <c r="DD98" s="279"/>
      <c r="DE98" s="189"/>
      <c r="DF98" s="189"/>
      <c r="DG98" s="189"/>
      <c r="DH98" s="189"/>
      <c r="DI98" s="194"/>
      <c r="DJ98" s="281"/>
      <c r="DK98" s="279"/>
      <c r="DL98" s="279"/>
      <c r="DM98" s="189"/>
      <c r="DN98" s="189"/>
      <c r="DO98" s="189"/>
      <c r="DP98" s="189"/>
      <c r="DQ98" s="194"/>
      <c r="DR98" s="281"/>
      <c r="DS98" s="279"/>
      <c r="DT98" s="279"/>
      <c r="DU98" s="189"/>
      <c r="DV98" s="189"/>
      <c r="DW98" s="189"/>
      <c r="DX98" s="189"/>
      <c r="DY98" s="194"/>
      <c r="DZ98" s="281"/>
      <c r="EA98" s="279"/>
      <c r="EB98" s="279"/>
      <c r="EC98" s="189"/>
      <c r="ED98" s="189"/>
      <c r="EE98" s="189"/>
      <c r="EF98" s="189"/>
      <c r="EG98" s="194"/>
      <c r="EH98" s="281"/>
      <c r="EI98" s="279"/>
      <c r="EJ98" s="279"/>
      <c r="EK98" s="189"/>
      <c r="EL98" s="189"/>
      <c r="EM98" s="189"/>
      <c r="EN98" s="189"/>
      <c r="EO98" s="194"/>
      <c r="EP98" s="281"/>
      <c r="EQ98" s="279"/>
      <c r="ER98" s="279"/>
      <c r="ES98" s="189"/>
      <c r="ET98" s="189"/>
      <c r="EU98" s="189"/>
      <c r="EV98" s="189"/>
      <c r="EW98" s="194"/>
      <c r="EX98" s="281"/>
      <c r="EY98" s="279"/>
      <c r="EZ98" s="279"/>
      <c r="FA98" s="189"/>
      <c r="FB98" s="189"/>
      <c r="FC98" s="189"/>
      <c r="FD98" s="189"/>
      <c r="FE98" s="194"/>
      <c r="FF98" s="281"/>
      <c r="FG98" s="279"/>
      <c r="FH98" s="279"/>
      <c r="FI98" s="189"/>
      <c r="FJ98" s="189"/>
      <c r="FK98" s="189"/>
      <c r="FL98" s="189"/>
      <c r="FM98" s="194"/>
      <c r="FN98" s="281"/>
      <c r="FO98" s="279"/>
      <c r="FP98" s="279"/>
      <c r="FQ98" s="189"/>
      <c r="FR98" s="189"/>
      <c r="FS98" s="189"/>
      <c r="FT98" s="189"/>
      <c r="FU98" s="194"/>
      <c r="FV98" s="281"/>
      <c r="FW98" s="279"/>
      <c r="FX98" s="279"/>
      <c r="FY98" s="189"/>
      <c r="FZ98" s="189"/>
      <c r="GA98" s="189"/>
      <c r="GB98" s="189"/>
      <c r="GC98" s="194"/>
      <c r="GD98" s="281"/>
      <c r="GE98" s="279"/>
      <c r="GF98" s="279"/>
      <c r="GG98" s="189"/>
      <c r="GH98" s="189"/>
      <c r="GI98" s="189"/>
      <c r="GJ98" s="189"/>
      <c r="GK98" s="194"/>
      <c r="GL98" s="281"/>
      <c r="GM98" s="279"/>
      <c r="GN98" s="279"/>
      <c r="GO98" s="189"/>
      <c r="GP98" s="189"/>
      <c r="GQ98" s="189"/>
      <c r="GR98" s="189"/>
      <c r="GS98" s="194"/>
      <c r="GT98" s="281"/>
      <c r="GU98" s="279"/>
      <c r="GV98" s="279"/>
      <c r="GW98" s="189"/>
      <c r="GX98" s="189"/>
      <c r="GY98" s="189"/>
      <c r="GZ98" s="189"/>
      <c r="HA98" s="194"/>
      <c r="HB98" s="281"/>
      <c r="HC98" s="279"/>
      <c r="HD98" s="279"/>
      <c r="HE98" s="189"/>
      <c r="HF98" s="189"/>
      <c r="HG98" s="189"/>
      <c r="HH98" s="189"/>
      <c r="HI98" s="194"/>
      <c r="HJ98" s="281"/>
      <c r="HK98" s="279"/>
      <c r="HL98" s="279"/>
      <c r="HM98" s="189"/>
      <c r="HN98" s="189"/>
      <c r="HO98" s="189"/>
      <c r="HP98" s="189"/>
      <c r="HQ98" s="194"/>
      <c r="HR98" s="281"/>
      <c r="HS98" s="279"/>
      <c r="HT98" s="279"/>
      <c r="HU98" s="189"/>
      <c r="HV98" s="189"/>
      <c r="HW98" s="189"/>
      <c r="HX98" s="189"/>
      <c r="HY98" s="194"/>
      <c r="HZ98" s="281"/>
      <c r="IA98" s="279"/>
      <c r="IB98" s="279"/>
      <c r="IC98" s="189"/>
      <c r="ID98" s="189"/>
      <c r="IE98" s="189"/>
      <c r="IF98" s="189"/>
      <c r="IG98" s="194"/>
      <c r="IH98" s="281"/>
      <c r="II98" s="279"/>
      <c r="IJ98" s="279"/>
      <c r="IK98" s="189"/>
      <c r="IL98" s="189"/>
      <c r="IM98" s="189"/>
      <c r="IN98" s="189"/>
    </row>
    <row r="99" spans="1:248" s="188" customFormat="1" ht="12.75">
      <c r="A99" s="227"/>
      <c r="B99" s="266" t="s">
        <v>447</v>
      </c>
      <c r="C99" s="290" t="s">
        <v>476</v>
      </c>
      <c r="D99" s="210">
        <f>944-256</f>
        <v>688</v>
      </c>
      <c r="E99" s="247">
        <v>1</v>
      </c>
      <c r="F99" s="247">
        <v>1</v>
      </c>
      <c r="G99" s="210">
        <f>944-256</f>
        <v>688</v>
      </c>
      <c r="H99" s="291">
        <f t="shared" si="5"/>
        <v>13857.45591076571</v>
      </c>
      <c r="I99" s="212"/>
      <c r="J99" s="281"/>
      <c r="K99" s="279"/>
      <c r="L99" s="279"/>
      <c r="M99" s="189"/>
      <c r="N99" s="189"/>
      <c r="O99" s="189"/>
      <c r="P99" s="189"/>
      <c r="Q99" s="194"/>
      <c r="R99" s="281"/>
      <c r="S99" s="279"/>
      <c r="T99" s="279"/>
      <c r="U99" s="189"/>
      <c r="V99" s="189"/>
      <c r="W99" s="189"/>
      <c r="X99" s="189"/>
      <c r="Y99" s="194"/>
      <c r="Z99" s="281"/>
      <c r="AA99" s="279"/>
      <c r="AB99" s="279"/>
      <c r="AC99" s="189"/>
      <c r="AD99" s="189"/>
      <c r="AE99" s="189"/>
      <c r="AF99" s="189"/>
      <c r="AG99" s="194"/>
      <c r="AH99" s="281"/>
      <c r="AI99" s="279"/>
      <c r="AJ99" s="279"/>
      <c r="AK99" s="189"/>
      <c r="AL99" s="189"/>
      <c r="AM99" s="189"/>
      <c r="AN99" s="189"/>
      <c r="AO99" s="194"/>
      <c r="AP99" s="281"/>
      <c r="AQ99" s="279"/>
      <c r="AR99" s="279"/>
      <c r="AS99" s="189"/>
      <c r="AT99" s="189"/>
      <c r="AU99" s="189"/>
      <c r="AV99" s="189"/>
      <c r="AW99" s="194"/>
      <c r="AX99" s="281"/>
      <c r="AY99" s="279"/>
      <c r="AZ99" s="279"/>
      <c r="BA99" s="189"/>
      <c r="BB99" s="189"/>
      <c r="BC99" s="189"/>
      <c r="BD99" s="189"/>
      <c r="BE99" s="194"/>
      <c r="BF99" s="281"/>
      <c r="BG99" s="279"/>
      <c r="BH99" s="279"/>
      <c r="BI99" s="189"/>
      <c r="BJ99" s="189"/>
      <c r="BK99" s="189"/>
      <c r="BL99" s="189"/>
      <c r="BM99" s="194"/>
      <c r="BN99" s="281"/>
      <c r="BO99" s="279"/>
      <c r="BP99" s="279"/>
      <c r="BQ99" s="189"/>
      <c r="BR99" s="189"/>
      <c r="BS99" s="189"/>
      <c r="BT99" s="189"/>
      <c r="BU99" s="194"/>
      <c r="BV99" s="281"/>
      <c r="BW99" s="279"/>
      <c r="BX99" s="279"/>
      <c r="BY99" s="189"/>
      <c r="BZ99" s="189"/>
      <c r="CA99" s="189"/>
      <c r="CB99" s="189"/>
      <c r="CC99" s="194"/>
      <c r="CD99" s="281"/>
      <c r="CE99" s="279"/>
      <c r="CF99" s="279"/>
      <c r="CG99" s="189"/>
      <c r="CH99" s="189"/>
      <c r="CI99" s="189"/>
      <c r="CJ99" s="189"/>
      <c r="CK99" s="194"/>
      <c r="CL99" s="281"/>
      <c r="CM99" s="279"/>
      <c r="CN99" s="279"/>
      <c r="CO99" s="189"/>
      <c r="CP99" s="189"/>
      <c r="CQ99" s="189"/>
      <c r="CR99" s="189"/>
      <c r="CS99" s="194"/>
      <c r="CT99" s="281"/>
      <c r="CU99" s="279"/>
      <c r="CV99" s="279"/>
      <c r="CW99" s="189"/>
      <c r="CX99" s="189"/>
      <c r="CY99" s="189"/>
      <c r="CZ99" s="189"/>
      <c r="DA99" s="194"/>
      <c r="DB99" s="281"/>
      <c r="DC99" s="279"/>
      <c r="DD99" s="279"/>
      <c r="DE99" s="189"/>
      <c r="DF99" s="189"/>
      <c r="DG99" s="189"/>
      <c r="DH99" s="189"/>
      <c r="DI99" s="194"/>
      <c r="DJ99" s="281"/>
      <c r="DK99" s="279"/>
      <c r="DL99" s="279"/>
      <c r="DM99" s="189"/>
      <c r="DN99" s="189"/>
      <c r="DO99" s="189"/>
      <c r="DP99" s="189"/>
      <c r="DQ99" s="194"/>
      <c r="DR99" s="281"/>
      <c r="DS99" s="279"/>
      <c r="DT99" s="279"/>
      <c r="DU99" s="189"/>
      <c r="DV99" s="189"/>
      <c r="DW99" s="189"/>
      <c r="DX99" s="189"/>
      <c r="DY99" s="194"/>
      <c r="DZ99" s="281"/>
      <c r="EA99" s="279"/>
      <c r="EB99" s="279"/>
      <c r="EC99" s="189"/>
      <c r="ED99" s="189"/>
      <c r="EE99" s="189"/>
      <c r="EF99" s="189"/>
      <c r="EG99" s="194"/>
      <c r="EH99" s="281"/>
      <c r="EI99" s="279"/>
      <c r="EJ99" s="279"/>
      <c r="EK99" s="189"/>
      <c r="EL99" s="189"/>
      <c r="EM99" s="189"/>
      <c r="EN99" s="189"/>
      <c r="EO99" s="194"/>
      <c r="EP99" s="281"/>
      <c r="EQ99" s="279"/>
      <c r="ER99" s="279"/>
      <c r="ES99" s="189"/>
      <c r="ET99" s="189"/>
      <c r="EU99" s="189"/>
      <c r="EV99" s="189"/>
      <c r="EW99" s="194"/>
      <c r="EX99" s="281"/>
      <c r="EY99" s="279"/>
      <c r="EZ99" s="279"/>
      <c r="FA99" s="189"/>
      <c r="FB99" s="189"/>
      <c r="FC99" s="189"/>
      <c r="FD99" s="189"/>
      <c r="FE99" s="194"/>
      <c r="FF99" s="281"/>
      <c r="FG99" s="279"/>
      <c r="FH99" s="279"/>
      <c r="FI99" s="189"/>
      <c r="FJ99" s="189"/>
      <c r="FK99" s="189"/>
      <c r="FL99" s="189"/>
      <c r="FM99" s="194"/>
      <c r="FN99" s="281"/>
      <c r="FO99" s="279"/>
      <c r="FP99" s="279"/>
      <c r="FQ99" s="189"/>
      <c r="FR99" s="189"/>
      <c r="FS99" s="189"/>
      <c r="FT99" s="189"/>
      <c r="FU99" s="194"/>
      <c r="FV99" s="281"/>
      <c r="FW99" s="279"/>
      <c r="FX99" s="279"/>
      <c r="FY99" s="189"/>
      <c r="FZ99" s="189"/>
      <c r="GA99" s="189"/>
      <c r="GB99" s="189"/>
      <c r="GC99" s="194"/>
      <c r="GD99" s="281"/>
      <c r="GE99" s="279"/>
      <c r="GF99" s="279"/>
      <c r="GG99" s="189"/>
      <c r="GH99" s="189"/>
      <c r="GI99" s="189"/>
      <c r="GJ99" s="189"/>
      <c r="GK99" s="194"/>
      <c r="GL99" s="281"/>
      <c r="GM99" s="279"/>
      <c r="GN99" s="279"/>
      <c r="GO99" s="189"/>
      <c r="GP99" s="189"/>
      <c r="GQ99" s="189"/>
      <c r="GR99" s="189"/>
      <c r="GS99" s="194"/>
      <c r="GT99" s="281"/>
      <c r="GU99" s="279"/>
      <c r="GV99" s="279"/>
      <c r="GW99" s="189"/>
      <c r="GX99" s="189"/>
      <c r="GY99" s="189"/>
      <c r="GZ99" s="189"/>
      <c r="HA99" s="194"/>
      <c r="HB99" s="281"/>
      <c r="HC99" s="279"/>
      <c r="HD99" s="279"/>
      <c r="HE99" s="189"/>
      <c r="HF99" s="189"/>
      <c r="HG99" s="189"/>
      <c r="HH99" s="189"/>
      <c r="HI99" s="194"/>
      <c r="HJ99" s="281"/>
      <c r="HK99" s="279"/>
      <c r="HL99" s="279"/>
      <c r="HM99" s="189"/>
      <c r="HN99" s="189"/>
      <c r="HO99" s="189"/>
      <c r="HP99" s="189"/>
      <c r="HQ99" s="194"/>
      <c r="HR99" s="281"/>
      <c r="HS99" s="279"/>
      <c r="HT99" s="279"/>
      <c r="HU99" s="189"/>
      <c r="HV99" s="189"/>
      <c r="HW99" s="189"/>
      <c r="HX99" s="189"/>
      <c r="HY99" s="194"/>
      <c r="HZ99" s="281"/>
      <c r="IA99" s="279"/>
      <c r="IB99" s="279"/>
      <c r="IC99" s="189"/>
      <c r="ID99" s="189"/>
      <c r="IE99" s="189"/>
      <c r="IF99" s="189"/>
      <c r="IG99" s="194"/>
      <c r="IH99" s="281"/>
      <c r="II99" s="279"/>
      <c r="IJ99" s="279"/>
      <c r="IK99" s="189"/>
      <c r="IL99" s="189"/>
      <c r="IM99" s="189"/>
      <c r="IN99" s="189"/>
    </row>
    <row r="100" spans="1:248" s="188" customFormat="1" ht="12.75">
      <c r="A100" s="227"/>
      <c r="B100" s="266" t="s">
        <v>448</v>
      </c>
      <c r="C100" s="290" t="s">
        <v>476</v>
      </c>
      <c r="D100" s="210">
        <v>263</v>
      </c>
      <c r="E100" s="247">
        <v>1</v>
      </c>
      <c r="F100" s="247">
        <v>1</v>
      </c>
      <c r="G100" s="210">
        <v>263</v>
      </c>
      <c r="H100" s="291">
        <f t="shared" si="5"/>
        <v>5297.254221702589</v>
      </c>
      <c r="I100" s="212"/>
      <c r="J100" s="281"/>
      <c r="K100" s="279"/>
      <c r="L100" s="279"/>
      <c r="M100" s="189"/>
      <c r="N100" s="189"/>
      <c r="O100" s="189"/>
      <c r="P100" s="189"/>
      <c r="Q100" s="194"/>
      <c r="R100" s="281"/>
      <c r="S100" s="279"/>
      <c r="T100" s="279"/>
      <c r="U100" s="189"/>
      <c r="V100" s="189"/>
      <c r="W100" s="189"/>
      <c r="X100" s="189"/>
      <c r="Y100" s="194"/>
      <c r="Z100" s="281"/>
      <c r="AA100" s="279"/>
      <c r="AB100" s="279"/>
      <c r="AC100" s="189"/>
      <c r="AD100" s="189"/>
      <c r="AE100" s="189"/>
      <c r="AF100" s="189"/>
      <c r="AG100" s="194"/>
      <c r="AH100" s="281"/>
      <c r="AI100" s="279"/>
      <c r="AJ100" s="279"/>
      <c r="AK100" s="189"/>
      <c r="AL100" s="189"/>
      <c r="AM100" s="189"/>
      <c r="AN100" s="189"/>
      <c r="AO100" s="194"/>
      <c r="AP100" s="281"/>
      <c r="AQ100" s="279"/>
      <c r="AR100" s="279"/>
      <c r="AS100" s="189"/>
      <c r="AT100" s="189"/>
      <c r="AU100" s="189"/>
      <c r="AV100" s="189"/>
      <c r="AW100" s="194"/>
      <c r="AX100" s="281"/>
      <c r="AY100" s="279"/>
      <c r="AZ100" s="279"/>
      <c r="BA100" s="189"/>
      <c r="BB100" s="189"/>
      <c r="BC100" s="189"/>
      <c r="BD100" s="189"/>
      <c r="BE100" s="194"/>
      <c r="BF100" s="281"/>
      <c r="BG100" s="279"/>
      <c r="BH100" s="279"/>
      <c r="BI100" s="189"/>
      <c r="BJ100" s="189"/>
      <c r="BK100" s="189"/>
      <c r="BL100" s="189"/>
      <c r="BM100" s="194"/>
      <c r="BN100" s="281"/>
      <c r="BO100" s="279"/>
      <c r="BP100" s="279"/>
      <c r="BQ100" s="189"/>
      <c r="BR100" s="189"/>
      <c r="BS100" s="189"/>
      <c r="BT100" s="189"/>
      <c r="BU100" s="194"/>
      <c r="BV100" s="281"/>
      <c r="BW100" s="279"/>
      <c r="BX100" s="279"/>
      <c r="BY100" s="189"/>
      <c r="BZ100" s="189"/>
      <c r="CA100" s="189"/>
      <c r="CB100" s="189"/>
      <c r="CC100" s="194"/>
      <c r="CD100" s="281"/>
      <c r="CE100" s="279"/>
      <c r="CF100" s="279"/>
      <c r="CG100" s="189"/>
      <c r="CH100" s="189"/>
      <c r="CI100" s="189"/>
      <c r="CJ100" s="189"/>
      <c r="CK100" s="194"/>
      <c r="CL100" s="281"/>
      <c r="CM100" s="279"/>
      <c r="CN100" s="279"/>
      <c r="CO100" s="189"/>
      <c r="CP100" s="189"/>
      <c r="CQ100" s="189"/>
      <c r="CR100" s="189"/>
      <c r="CS100" s="194"/>
      <c r="CT100" s="281"/>
      <c r="CU100" s="279"/>
      <c r="CV100" s="279"/>
      <c r="CW100" s="189"/>
      <c r="CX100" s="189"/>
      <c r="CY100" s="189"/>
      <c r="CZ100" s="189"/>
      <c r="DA100" s="194"/>
      <c r="DB100" s="281"/>
      <c r="DC100" s="279"/>
      <c r="DD100" s="279"/>
      <c r="DE100" s="189"/>
      <c r="DF100" s="189"/>
      <c r="DG100" s="189"/>
      <c r="DH100" s="189"/>
      <c r="DI100" s="194"/>
      <c r="DJ100" s="281"/>
      <c r="DK100" s="279"/>
      <c r="DL100" s="279"/>
      <c r="DM100" s="189"/>
      <c r="DN100" s="189"/>
      <c r="DO100" s="189"/>
      <c r="DP100" s="189"/>
      <c r="DQ100" s="194"/>
      <c r="DR100" s="281"/>
      <c r="DS100" s="279"/>
      <c r="DT100" s="279"/>
      <c r="DU100" s="189"/>
      <c r="DV100" s="189"/>
      <c r="DW100" s="189"/>
      <c r="DX100" s="189"/>
      <c r="DY100" s="194"/>
      <c r="DZ100" s="281"/>
      <c r="EA100" s="279"/>
      <c r="EB100" s="279"/>
      <c r="EC100" s="189"/>
      <c r="ED100" s="189"/>
      <c r="EE100" s="189"/>
      <c r="EF100" s="189"/>
      <c r="EG100" s="194"/>
      <c r="EH100" s="281"/>
      <c r="EI100" s="279"/>
      <c r="EJ100" s="279"/>
      <c r="EK100" s="189"/>
      <c r="EL100" s="189"/>
      <c r="EM100" s="189"/>
      <c r="EN100" s="189"/>
      <c r="EO100" s="194"/>
      <c r="EP100" s="281"/>
      <c r="EQ100" s="279"/>
      <c r="ER100" s="279"/>
      <c r="ES100" s="189"/>
      <c r="ET100" s="189"/>
      <c r="EU100" s="189"/>
      <c r="EV100" s="189"/>
      <c r="EW100" s="194"/>
      <c r="EX100" s="281"/>
      <c r="EY100" s="279"/>
      <c r="EZ100" s="279"/>
      <c r="FA100" s="189"/>
      <c r="FB100" s="189"/>
      <c r="FC100" s="189"/>
      <c r="FD100" s="189"/>
      <c r="FE100" s="194"/>
      <c r="FF100" s="281"/>
      <c r="FG100" s="279"/>
      <c r="FH100" s="279"/>
      <c r="FI100" s="189"/>
      <c r="FJ100" s="189"/>
      <c r="FK100" s="189"/>
      <c r="FL100" s="189"/>
      <c r="FM100" s="194"/>
      <c r="FN100" s="281"/>
      <c r="FO100" s="279"/>
      <c r="FP100" s="279"/>
      <c r="FQ100" s="189"/>
      <c r="FR100" s="189"/>
      <c r="FS100" s="189"/>
      <c r="FT100" s="189"/>
      <c r="FU100" s="194"/>
      <c r="FV100" s="281"/>
      <c r="FW100" s="279"/>
      <c r="FX100" s="279"/>
      <c r="FY100" s="189"/>
      <c r="FZ100" s="189"/>
      <c r="GA100" s="189"/>
      <c r="GB100" s="189"/>
      <c r="GC100" s="194"/>
      <c r="GD100" s="281"/>
      <c r="GE100" s="279"/>
      <c r="GF100" s="279"/>
      <c r="GG100" s="189"/>
      <c r="GH100" s="189"/>
      <c r="GI100" s="189"/>
      <c r="GJ100" s="189"/>
      <c r="GK100" s="194"/>
      <c r="GL100" s="281"/>
      <c r="GM100" s="279"/>
      <c r="GN100" s="279"/>
      <c r="GO100" s="189"/>
      <c r="GP100" s="189"/>
      <c r="GQ100" s="189"/>
      <c r="GR100" s="189"/>
      <c r="GS100" s="194"/>
      <c r="GT100" s="281"/>
      <c r="GU100" s="279"/>
      <c r="GV100" s="279"/>
      <c r="GW100" s="189"/>
      <c r="GX100" s="189"/>
      <c r="GY100" s="189"/>
      <c r="GZ100" s="189"/>
      <c r="HA100" s="194"/>
      <c r="HB100" s="281"/>
      <c r="HC100" s="279"/>
      <c r="HD100" s="279"/>
      <c r="HE100" s="189"/>
      <c r="HF100" s="189"/>
      <c r="HG100" s="189"/>
      <c r="HH100" s="189"/>
      <c r="HI100" s="194"/>
      <c r="HJ100" s="281"/>
      <c r="HK100" s="279"/>
      <c r="HL100" s="279"/>
      <c r="HM100" s="189"/>
      <c r="HN100" s="189"/>
      <c r="HO100" s="189"/>
      <c r="HP100" s="189"/>
      <c r="HQ100" s="194"/>
      <c r="HR100" s="281"/>
      <c r="HS100" s="279"/>
      <c r="HT100" s="279"/>
      <c r="HU100" s="189"/>
      <c r="HV100" s="189"/>
      <c r="HW100" s="189"/>
      <c r="HX100" s="189"/>
      <c r="HY100" s="194"/>
      <c r="HZ100" s="281"/>
      <c r="IA100" s="279"/>
      <c r="IB100" s="279"/>
      <c r="IC100" s="189"/>
      <c r="ID100" s="189"/>
      <c r="IE100" s="189"/>
      <c r="IF100" s="189"/>
      <c r="IG100" s="194"/>
      <c r="IH100" s="281"/>
      <c r="II100" s="279"/>
      <c r="IJ100" s="279"/>
      <c r="IK100" s="189"/>
      <c r="IL100" s="189"/>
      <c r="IM100" s="189"/>
      <c r="IN100" s="189"/>
    </row>
    <row r="101" spans="1:248" s="188" customFormat="1" ht="12.75">
      <c r="A101" s="227"/>
      <c r="B101" s="266" t="s">
        <v>449</v>
      </c>
      <c r="C101" s="290" t="s">
        <v>476</v>
      </c>
      <c r="D101" s="210">
        <v>430</v>
      </c>
      <c r="E101" s="247">
        <v>1</v>
      </c>
      <c r="F101" s="247">
        <v>1</v>
      </c>
      <c r="G101" s="210">
        <v>430</v>
      </c>
      <c r="H101" s="291">
        <f t="shared" si="5"/>
        <v>8660.909944228568</v>
      </c>
      <c r="I101" s="212"/>
      <c r="J101" s="281"/>
      <c r="K101" s="279"/>
      <c r="L101" s="279"/>
      <c r="M101" s="189"/>
      <c r="N101" s="189"/>
      <c r="O101" s="189"/>
      <c r="P101" s="189"/>
      <c r="Q101" s="194"/>
      <c r="R101" s="281"/>
      <c r="S101" s="279"/>
      <c r="T101" s="279"/>
      <c r="U101" s="189"/>
      <c r="V101" s="189"/>
      <c r="W101" s="189"/>
      <c r="X101" s="189"/>
      <c r="Y101" s="194"/>
      <c r="Z101" s="281"/>
      <c r="AA101" s="279"/>
      <c r="AB101" s="279"/>
      <c r="AC101" s="189"/>
      <c r="AD101" s="189"/>
      <c r="AE101" s="189"/>
      <c r="AF101" s="189"/>
      <c r="AG101" s="194"/>
      <c r="AH101" s="281"/>
      <c r="AI101" s="279"/>
      <c r="AJ101" s="279"/>
      <c r="AK101" s="189"/>
      <c r="AL101" s="189"/>
      <c r="AM101" s="189"/>
      <c r="AN101" s="189"/>
      <c r="AO101" s="194"/>
      <c r="AP101" s="281"/>
      <c r="AQ101" s="279"/>
      <c r="AR101" s="279"/>
      <c r="AS101" s="189"/>
      <c r="AT101" s="189"/>
      <c r="AU101" s="189"/>
      <c r="AV101" s="189"/>
      <c r="AW101" s="194"/>
      <c r="AX101" s="281"/>
      <c r="AY101" s="279"/>
      <c r="AZ101" s="279"/>
      <c r="BA101" s="189"/>
      <c r="BB101" s="189"/>
      <c r="BC101" s="189"/>
      <c r="BD101" s="189"/>
      <c r="BE101" s="194"/>
      <c r="BF101" s="281"/>
      <c r="BG101" s="279"/>
      <c r="BH101" s="279"/>
      <c r="BI101" s="189"/>
      <c r="BJ101" s="189"/>
      <c r="BK101" s="189"/>
      <c r="BL101" s="189"/>
      <c r="BM101" s="194"/>
      <c r="BN101" s="281"/>
      <c r="BO101" s="279"/>
      <c r="BP101" s="279"/>
      <c r="BQ101" s="189"/>
      <c r="BR101" s="189"/>
      <c r="BS101" s="189"/>
      <c r="BT101" s="189"/>
      <c r="BU101" s="194"/>
      <c r="BV101" s="281"/>
      <c r="BW101" s="279"/>
      <c r="BX101" s="279"/>
      <c r="BY101" s="189"/>
      <c r="BZ101" s="189"/>
      <c r="CA101" s="189"/>
      <c r="CB101" s="189"/>
      <c r="CC101" s="194"/>
      <c r="CD101" s="281"/>
      <c r="CE101" s="279"/>
      <c r="CF101" s="279"/>
      <c r="CG101" s="189"/>
      <c r="CH101" s="189"/>
      <c r="CI101" s="189"/>
      <c r="CJ101" s="189"/>
      <c r="CK101" s="194"/>
      <c r="CL101" s="281"/>
      <c r="CM101" s="279"/>
      <c r="CN101" s="279"/>
      <c r="CO101" s="189"/>
      <c r="CP101" s="189"/>
      <c r="CQ101" s="189"/>
      <c r="CR101" s="189"/>
      <c r="CS101" s="194"/>
      <c r="CT101" s="281"/>
      <c r="CU101" s="279"/>
      <c r="CV101" s="279"/>
      <c r="CW101" s="189"/>
      <c r="CX101" s="189"/>
      <c r="CY101" s="189"/>
      <c r="CZ101" s="189"/>
      <c r="DA101" s="194"/>
      <c r="DB101" s="281"/>
      <c r="DC101" s="279"/>
      <c r="DD101" s="279"/>
      <c r="DE101" s="189"/>
      <c r="DF101" s="189"/>
      <c r="DG101" s="189"/>
      <c r="DH101" s="189"/>
      <c r="DI101" s="194"/>
      <c r="DJ101" s="281"/>
      <c r="DK101" s="279"/>
      <c r="DL101" s="279"/>
      <c r="DM101" s="189"/>
      <c r="DN101" s="189"/>
      <c r="DO101" s="189"/>
      <c r="DP101" s="189"/>
      <c r="DQ101" s="194"/>
      <c r="DR101" s="281"/>
      <c r="DS101" s="279"/>
      <c r="DT101" s="279"/>
      <c r="DU101" s="189"/>
      <c r="DV101" s="189"/>
      <c r="DW101" s="189"/>
      <c r="DX101" s="189"/>
      <c r="DY101" s="194"/>
      <c r="DZ101" s="281"/>
      <c r="EA101" s="279"/>
      <c r="EB101" s="279"/>
      <c r="EC101" s="189"/>
      <c r="ED101" s="189"/>
      <c r="EE101" s="189"/>
      <c r="EF101" s="189"/>
      <c r="EG101" s="194"/>
      <c r="EH101" s="281"/>
      <c r="EI101" s="279"/>
      <c r="EJ101" s="279"/>
      <c r="EK101" s="189"/>
      <c r="EL101" s="189"/>
      <c r="EM101" s="189"/>
      <c r="EN101" s="189"/>
      <c r="EO101" s="194"/>
      <c r="EP101" s="281"/>
      <c r="EQ101" s="279"/>
      <c r="ER101" s="279"/>
      <c r="ES101" s="189"/>
      <c r="ET101" s="189"/>
      <c r="EU101" s="189"/>
      <c r="EV101" s="189"/>
      <c r="EW101" s="194"/>
      <c r="EX101" s="281"/>
      <c r="EY101" s="279"/>
      <c r="EZ101" s="279"/>
      <c r="FA101" s="189"/>
      <c r="FB101" s="189"/>
      <c r="FC101" s="189"/>
      <c r="FD101" s="189"/>
      <c r="FE101" s="194"/>
      <c r="FF101" s="281"/>
      <c r="FG101" s="279"/>
      <c r="FH101" s="279"/>
      <c r="FI101" s="189"/>
      <c r="FJ101" s="189"/>
      <c r="FK101" s="189"/>
      <c r="FL101" s="189"/>
      <c r="FM101" s="194"/>
      <c r="FN101" s="281"/>
      <c r="FO101" s="279"/>
      <c r="FP101" s="279"/>
      <c r="FQ101" s="189"/>
      <c r="FR101" s="189"/>
      <c r="FS101" s="189"/>
      <c r="FT101" s="189"/>
      <c r="FU101" s="194"/>
      <c r="FV101" s="281"/>
      <c r="FW101" s="279"/>
      <c r="FX101" s="279"/>
      <c r="FY101" s="189"/>
      <c r="FZ101" s="189"/>
      <c r="GA101" s="189"/>
      <c r="GB101" s="189"/>
      <c r="GC101" s="194"/>
      <c r="GD101" s="281"/>
      <c r="GE101" s="279"/>
      <c r="GF101" s="279"/>
      <c r="GG101" s="189"/>
      <c r="GH101" s="189"/>
      <c r="GI101" s="189"/>
      <c r="GJ101" s="189"/>
      <c r="GK101" s="194"/>
      <c r="GL101" s="281"/>
      <c r="GM101" s="279"/>
      <c r="GN101" s="279"/>
      <c r="GO101" s="189"/>
      <c r="GP101" s="189"/>
      <c r="GQ101" s="189"/>
      <c r="GR101" s="189"/>
      <c r="GS101" s="194"/>
      <c r="GT101" s="281"/>
      <c r="GU101" s="279"/>
      <c r="GV101" s="279"/>
      <c r="GW101" s="189"/>
      <c r="GX101" s="189"/>
      <c r="GY101" s="189"/>
      <c r="GZ101" s="189"/>
      <c r="HA101" s="194"/>
      <c r="HB101" s="281"/>
      <c r="HC101" s="279"/>
      <c r="HD101" s="279"/>
      <c r="HE101" s="189"/>
      <c r="HF101" s="189"/>
      <c r="HG101" s="189"/>
      <c r="HH101" s="189"/>
      <c r="HI101" s="194"/>
      <c r="HJ101" s="281"/>
      <c r="HK101" s="279"/>
      <c r="HL101" s="279"/>
      <c r="HM101" s="189"/>
      <c r="HN101" s="189"/>
      <c r="HO101" s="189"/>
      <c r="HP101" s="189"/>
      <c r="HQ101" s="194"/>
      <c r="HR101" s="281"/>
      <c r="HS101" s="279"/>
      <c r="HT101" s="279"/>
      <c r="HU101" s="189"/>
      <c r="HV101" s="189"/>
      <c r="HW101" s="189"/>
      <c r="HX101" s="189"/>
      <c r="HY101" s="194"/>
      <c r="HZ101" s="281"/>
      <c r="IA101" s="279"/>
      <c r="IB101" s="279"/>
      <c r="IC101" s="189"/>
      <c r="ID101" s="189"/>
      <c r="IE101" s="189"/>
      <c r="IF101" s="189"/>
      <c r="IG101" s="194"/>
      <c r="IH101" s="281"/>
      <c r="II101" s="279"/>
      <c r="IJ101" s="279"/>
      <c r="IK101" s="189"/>
      <c r="IL101" s="189"/>
      <c r="IM101" s="189"/>
      <c r="IN101" s="189"/>
    </row>
    <row r="102" spans="1:248" s="188" customFormat="1" ht="12.75">
      <c r="A102" s="227"/>
      <c r="B102" s="266" t="s">
        <v>544</v>
      </c>
      <c r="C102" s="290" t="s">
        <v>476</v>
      </c>
      <c r="D102" s="210">
        <v>240</v>
      </c>
      <c r="E102" s="247">
        <v>1</v>
      </c>
      <c r="F102" s="247">
        <v>1</v>
      </c>
      <c r="G102" s="210">
        <v>240</v>
      </c>
      <c r="H102" s="291">
        <f t="shared" si="5"/>
        <v>4833.996247941526</v>
      </c>
      <c r="I102" s="212"/>
      <c r="J102" s="281"/>
      <c r="K102" s="279"/>
      <c r="L102" s="279"/>
      <c r="M102" s="189"/>
      <c r="N102" s="189"/>
      <c r="O102" s="189"/>
      <c r="P102" s="189"/>
      <c r="Q102" s="194"/>
      <c r="R102" s="281"/>
      <c r="S102" s="279"/>
      <c r="T102" s="279"/>
      <c r="U102" s="189"/>
      <c r="V102" s="189"/>
      <c r="W102" s="189"/>
      <c r="X102" s="189"/>
      <c r="Y102" s="194"/>
      <c r="Z102" s="281"/>
      <c r="AA102" s="279"/>
      <c r="AB102" s="279"/>
      <c r="AC102" s="189"/>
      <c r="AD102" s="189"/>
      <c r="AE102" s="189"/>
      <c r="AF102" s="189"/>
      <c r="AG102" s="194"/>
      <c r="AH102" s="281"/>
      <c r="AI102" s="279"/>
      <c r="AJ102" s="279"/>
      <c r="AK102" s="189"/>
      <c r="AL102" s="189"/>
      <c r="AM102" s="189"/>
      <c r="AN102" s="189"/>
      <c r="AO102" s="194"/>
      <c r="AP102" s="281"/>
      <c r="AQ102" s="279"/>
      <c r="AR102" s="279"/>
      <c r="AS102" s="189"/>
      <c r="AT102" s="189"/>
      <c r="AU102" s="189"/>
      <c r="AV102" s="189"/>
      <c r="AW102" s="194"/>
      <c r="AX102" s="281"/>
      <c r="AY102" s="279"/>
      <c r="AZ102" s="279"/>
      <c r="BA102" s="189"/>
      <c r="BB102" s="189"/>
      <c r="BC102" s="189"/>
      <c r="BD102" s="189"/>
      <c r="BE102" s="194"/>
      <c r="BF102" s="281"/>
      <c r="BG102" s="279"/>
      <c r="BH102" s="279"/>
      <c r="BI102" s="189"/>
      <c r="BJ102" s="189"/>
      <c r="BK102" s="189"/>
      <c r="BL102" s="189"/>
      <c r="BM102" s="194"/>
      <c r="BN102" s="281"/>
      <c r="BO102" s="279"/>
      <c r="BP102" s="279"/>
      <c r="BQ102" s="189"/>
      <c r="BR102" s="189"/>
      <c r="BS102" s="189"/>
      <c r="BT102" s="189"/>
      <c r="BU102" s="194"/>
      <c r="BV102" s="281"/>
      <c r="BW102" s="279"/>
      <c r="BX102" s="279"/>
      <c r="BY102" s="189"/>
      <c r="BZ102" s="189"/>
      <c r="CA102" s="189"/>
      <c r="CB102" s="189"/>
      <c r="CC102" s="194"/>
      <c r="CD102" s="281"/>
      <c r="CE102" s="279"/>
      <c r="CF102" s="279"/>
      <c r="CG102" s="189"/>
      <c r="CH102" s="189"/>
      <c r="CI102" s="189"/>
      <c r="CJ102" s="189"/>
      <c r="CK102" s="194"/>
      <c r="CL102" s="281"/>
      <c r="CM102" s="279"/>
      <c r="CN102" s="279"/>
      <c r="CO102" s="189"/>
      <c r="CP102" s="189"/>
      <c r="CQ102" s="189"/>
      <c r="CR102" s="189"/>
      <c r="CS102" s="194"/>
      <c r="CT102" s="281"/>
      <c r="CU102" s="279"/>
      <c r="CV102" s="279"/>
      <c r="CW102" s="189"/>
      <c r="CX102" s="189"/>
      <c r="CY102" s="189"/>
      <c r="CZ102" s="189"/>
      <c r="DA102" s="194"/>
      <c r="DB102" s="281"/>
      <c r="DC102" s="279"/>
      <c r="DD102" s="279"/>
      <c r="DE102" s="189"/>
      <c r="DF102" s="189"/>
      <c r="DG102" s="189"/>
      <c r="DH102" s="189"/>
      <c r="DI102" s="194"/>
      <c r="DJ102" s="281"/>
      <c r="DK102" s="279"/>
      <c r="DL102" s="279"/>
      <c r="DM102" s="189"/>
      <c r="DN102" s="189"/>
      <c r="DO102" s="189"/>
      <c r="DP102" s="189"/>
      <c r="DQ102" s="194"/>
      <c r="DR102" s="281"/>
      <c r="DS102" s="279"/>
      <c r="DT102" s="279"/>
      <c r="DU102" s="189"/>
      <c r="DV102" s="189"/>
      <c r="DW102" s="189"/>
      <c r="DX102" s="189"/>
      <c r="DY102" s="194"/>
      <c r="DZ102" s="281"/>
      <c r="EA102" s="279"/>
      <c r="EB102" s="279"/>
      <c r="EC102" s="189"/>
      <c r="ED102" s="189"/>
      <c r="EE102" s="189"/>
      <c r="EF102" s="189"/>
      <c r="EG102" s="194"/>
      <c r="EH102" s="281"/>
      <c r="EI102" s="279"/>
      <c r="EJ102" s="279"/>
      <c r="EK102" s="189"/>
      <c r="EL102" s="189"/>
      <c r="EM102" s="189"/>
      <c r="EN102" s="189"/>
      <c r="EO102" s="194"/>
      <c r="EP102" s="281"/>
      <c r="EQ102" s="279"/>
      <c r="ER102" s="279"/>
      <c r="ES102" s="189"/>
      <c r="ET102" s="189"/>
      <c r="EU102" s="189"/>
      <c r="EV102" s="189"/>
      <c r="EW102" s="194"/>
      <c r="EX102" s="281"/>
      <c r="EY102" s="279"/>
      <c r="EZ102" s="279"/>
      <c r="FA102" s="189"/>
      <c r="FB102" s="189"/>
      <c r="FC102" s="189"/>
      <c r="FD102" s="189"/>
      <c r="FE102" s="194"/>
      <c r="FF102" s="281"/>
      <c r="FG102" s="279"/>
      <c r="FH102" s="279"/>
      <c r="FI102" s="189"/>
      <c r="FJ102" s="189"/>
      <c r="FK102" s="189"/>
      <c r="FL102" s="189"/>
      <c r="FM102" s="194"/>
      <c r="FN102" s="281"/>
      <c r="FO102" s="279"/>
      <c r="FP102" s="279"/>
      <c r="FQ102" s="189"/>
      <c r="FR102" s="189"/>
      <c r="FS102" s="189"/>
      <c r="FT102" s="189"/>
      <c r="FU102" s="194"/>
      <c r="FV102" s="281"/>
      <c r="FW102" s="279"/>
      <c r="FX102" s="279"/>
      <c r="FY102" s="189"/>
      <c r="FZ102" s="189"/>
      <c r="GA102" s="189"/>
      <c r="GB102" s="189"/>
      <c r="GC102" s="194"/>
      <c r="GD102" s="281"/>
      <c r="GE102" s="279"/>
      <c r="GF102" s="279"/>
      <c r="GG102" s="189"/>
      <c r="GH102" s="189"/>
      <c r="GI102" s="189"/>
      <c r="GJ102" s="189"/>
      <c r="GK102" s="194"/>
      <c r="GL102" s="281"/>
      <c r="GM102" s="279"/>
      <c r="GN102" s="279"/>
      <c r="GO102" s="189"/>
      <c r="GP102" s="189"/>
      <c r="GQ102" s="189"/>
      <c r="GR102" s="189"/>
      <c r="GS102" s="194"/>
      <c r="GT102" s="281"/>
      <c r="GU102" s="279"/>
      <c r="GV102" s="279"/>
      <c r="GW102" s="189"/>
      <c r="GX102" s="189"/>
      <c r="GY102" s="189"/>
      <c r="GZ102" s="189"/>
      <c r="HA102" s="194"/>
      <c r="HB102" s="281"/>
      <c r="HC102" s="279"/>
      <c r="HD102" s="279"/>
      <c r="HE102" s="189"/>
      <c r="HF102" s="189"/>
      <c r="HG102" s="189"/>
      <c r="HH102" s="189"/>
      <c r="HI102" s="194"/>
      <c r="HJ102" s="281"/>
      <c r="HK102" s="279"/>
      <c r="HL102" s="279"/>
      <c r="HM102" s="189"/>
      <c r="HN102" s="189"/>
      <c r="HO102" s="189"/>
      <c r="HP102" s="189"/>
      <c r="HQ102" s="194"/>
      <c r="HR102" s="281"/>
      <c r="HS102" s="279"/>
      <c r="HT102" s="279"/>
      <c r="HU102" s="189"/>
      <c r="HV102" s="189"/>
      <c r="HW102" s="189"/>
      <c r="HX102" s="189"/>
      <c r="HY102" s="194"/>
      <c r="HZ102" s="281"/>
      <c r="IA102" s="279"/>
      <c r="IB102" s="279"/>
      <c r="IC102" s="189"/>
      <c r="ID102" s="189"/>
      <c r="IE102" s="189"/>
      <c r="IF102" s="189"/>
      <c r="IG102" s="194"/>
      <c r="IH102" s="281"/>
      <c r="II102" s="279"/>
      <c r="IJ102" s="279"/>
      <c r="IK102" s="189"/>
      <c r="IL102" s="189"/>
      <c r="IM102" s="189"/>
      <c r="IN102" s="189"/>
    </row>
    <row r="103" spans="1:248" s="188" customFormat="1" ht="12.75">
      <c r="A103" s="227"/>
      <c r="B103" s="266" t="s">
        <v>464</v>
      </c>
      <c r="C103" s="290" t="s">
        <v>476</v>
      </c>
      <c r="D103" s="210">
        <v>256</v>
      </c>
      <c r="E103" s="247">
        <v>1</v>
      </c>
      <c r="F103" s="247">
        <v>1</v>
      </c>
      <c r="G103" s="210">
        <v>256</v>
      </c>
      <c r="H103" s="291">
        <f t="shared" si="5"/>
        <v>5156.262664470962</v>
      </c>
      <c r="I103" s="212"/>
      <c r="J103" s="281"/>
      <c r="K103" s="279"/>
      <c r="L103" s="279"/>
      <c r="M103" s="189"/>
      <c r="N103" s="189"/>
      <c r="O103" s="189"/>
      <c r="P103" s="189"/>
      <c r="Q103" s="194"/>
      <c r="R103" s="281"/>
      <c r="S103" s="279"/>
      <c r="T103" s="279"/>
      <c r="U103" s="189"/>
      <c r="V103" s="189"/>
      <c r="W103" s="189"/>
      <c r="X103" s="189"/>
      <c r="Y103" s="194"/>
      <c r="Z103" s="281"/>
      <c r="AA103" s="279"/>
      <c r="AB103" s="279"/>
      <c r="AC103" s="189"/>
      <c r="AD103" s="189"/>
      <c r="AE103" s="189"/>
      <c r="AF103" s="189"/>
      <c r="AG103" s="194"/>
      <c r="AH103" s="281"/>
      <c r="AI103" s="279"/>
      <c r="AJ103" s="279"/>
      <c r="AK103" s="189"/>
      <c r="AL103" s="189"/>
      <c r="AM103" s="189"/>
      <c r="AN103" s="189"/>
      <c r="AO103" s="194"/>
      <c r="AP103" s="281"/>
      <c r="AQ103" s="279"/>
      <c r="AR103" s="279"/>
      <c r="AS103" s="189"/>
      <c r="AT103" s="189"/>
      <c r="AU103" s="189"/>
      <c r="AV103" s="189"/>
      <c r="AW103" s="194"/>
      <c r="AX103" s="281"/>
      <c r="AY103" s="279"/>
      <c r="AZ103" s="279"/>
      <c r="BA103" s="189"/>
      <c r="BB103" s="189"/>
      <c r="BC103" s="189"/>
      <c r="BD103" s="189"/>
      <c r="BE103" s="194"/>
      <c r="BF103" s="281"/>
      <c r="BG103" s="279"/>
      <c r="BH103" s="279"/>
      <c r="BI103" s="189"/>
      <c r="BJ103" s="189"/>
      <c r="BK103" s="189"/>
      <c r="BL103" s="189"/>
      <c r="BM103" s="194"/>
      <c r="BN103" s="281"/>
      <c r="BO103" s="279"/>
      <c r="BP103" s="279"/>
      <c r="BQ103" s="189"/>
      <c r="BR103" s="189"/>
      <c r="BS103" s="189"/>
      <c r="BT103" s="189"/>
      <c r="BU103" s="194"/>
      <c r="BV103" s="281"/>
      <c r="BW103" s="279"/>
      <c r="BX103" s="279"/>
      <c r="BY103" s="189"/>
      <c r="BZ103" s="189"/>
      <c r="CA103" s="189"/>
      <c r="CB103" s="189"/>
      <c r="CC103" s="194"/>
      <c r="CD103" s="281"/>
      <c r="CE103" s="279"/>
      <c r="CF103" s="279"/>
      <c r="CG103" s="189"/>
      <c r="CH103" s="189"/>
      <c r="CI103" s="189"/>
      <c r="CJ103" s="189"/>
      <c r="CK103" s="194"/>
      <c r="CL103" s="281"/>
      <c r="CM103" s="279"/>
      <c r="CN103" s="279"/>
      <c r="CO103" s="189"/>
      <c r="CP103" s="189"/>
      <c r="CQ103" s="189"/>
      <c r="CR103" s="189"/>
      <c r="CS103" s="194"/>
      <c r="CT103" s="281"/>
      <c r="CU103" s="279"/>
      <c r="CV103" s="279"/>
      <c r="CW103" s="189"/>
      <c r="CX103" s="189"/>
      <c r="CY103" s="189"/>
      <c r="CZ103" s="189"/>
      <c r="DA103" s="194"/>
      <c r="DB103" s="281"/>
      <c r="DC103" s="279"/>
      <c r="DD103" s="279"/>
      <c r="DE103" s="189"/>
      <c r="DF103" s="189"/>
      <c r="DG103" s="189"/>
      <c r="DH103" s="189"/>
      <c r="DI103" s="194"/>
      <c r="DJ103" s="281"/>
      <c r="DK103" s="279"/>
      <c r="DL103" s="279"/>
      <c r="DM103" s="189"/>
      <c r="DN103" s="189"/>
      <c r="DO103" s="189"/>
      <c r="DP103" s="189"/>
      <c r="DQ103" s="194"/>
      <c r="DR103" s="281"/>
      <c r="DS103" s="279"/>
      <c r="DT103" s="279"/>
      <c r="DU103" s="189"/>
      <c r="DV103" s="189"/>
      <c r="DW103" s="189"/>
      <c r="DX103" s="189"/>
      <c r="DY103" s="194"/>
      <c r="DZ103" s="281"/>
      <c r="EA103" s="279"/>
      <c r="EB103" s="279"/>
      <c r="EC103" s="189"/>
      <c r="ED103" s="189"/>
      <c r="EE103" s="189"/>
      <c r="EF103" s="189"/>
      <c r="EG103" s="194"/>
      <c r="EH103" s="281"/>
      <c r="EI103" s="279"/>
      <c r="EJ103" s="279"/>
      <c r="EK103" s="189"/>
      <c r="EL103" s="189"/>
      <c r="EM103" s="189"/>
      <c r="EN103" s="189"/>
      <c r="EO103" s="194"/>
      <c r="EP103" s="281"/>
      <c r="EQ103" s="279"/>
      <c r="ER103" s="279"/>
      <c r="ES103" s="189"/>
      <c r="ET103" s="189"/>
      <c r="EU103" s="189"/>
      <c r="EV103" s="189"/>
      <c r="EW103" s="194"/>
      <c r="EX103" s="281"/>
      <c r="EY103" s="279"/>
      <c r="EZ103" s="279"/>
      <c r="FA103" s="189"/>
      <c r="FB103" s="189"/>
      <c r="FC103" s="189"/>
      <c r="FD103" s="189"/>
      <c r="FE103" s="194"/>
      <c r="FF103" s="281"/>
      <c r="FG103" s="279"/>
      <c r="FH103" s="279"/>
      <c r="FI103" s="189"/>
      <c r="FJ103" s="189"/>
      <c r="FK103" s="189"/>
      <c r="FL103" s="189"/>
      <c r="FM103" s="194"/>
      <c r="FN103" s="281"/>
      <c r="FO103" s="279"/>
      <c r="FP103" s="279"/>
      <c r="FQ103" s="189"/>
      <c r="FR103" s="189"/>
      <c r="FS103" s="189"/>
      <c r="FT103" s="189"/>
      <c r="FU103" s="194"/>
      <c r="FV103" s="281"/>
      <c r="FW103" s="279"/>
      <c r="FX103" s="279"/>
      <c r="FY103" s="189"/>
      <c r="FZ103" s="189"/>
      <c r="GA103" s="189"/>
      <c r="GB103" s="189"/>
      <c r="GC103" s="194"/>
      <c r="GD103" s="281"/>
      <c r="GE103" s="279"/>
      <c r="GF103" s="279"/>
      <c r="GG103" s="189"/>
      <c r="GH103" s="189"/>
      <c r="GI103" s="189"/>
      <c r="GJ103" s="189"/>
      <c r="GK103" s="194"/>
      <c r="GL103" s="281"/>
      <c r="GM103" s="279"/>
      <c r="GN103" s="279"/>
      <c r="GO103" s="189"/>
      <c r="GP103" s="189"/>
      <c r="GQ103" s="189"/>
      <c r="GR103" s="189"/>
      <c r="GS103" s="194"/>
      <c r="GT103" s="281"/>
      <c r="GU103" s="279"/>
      <c r="GV103" s="279"/>
      <c r="GW103" s="189"/>
      <c r="GX103" s="189"/>
      <c r="GY103" s="189"/>
      <c r="GZ103" s="189"/>
      <c r="HA103" s="194"/>
      <c r="HB103" s="281"/>
      <c r="HC103" s="279"/>
      <c r="HD103" s="279"/>
      <c r="HE103" s="189"/>
      <c r="HF103" s="189"/>
      <c r="HG103" s="189"/>
      <c r="HH103" s="189"/>
      <c r="HI103" s="194"/>
      <c r="HJ103" s="281"/>
      <c r="HK103" s="279"/>
      <c r="HL103" s="279"/>
      <c r="HM103" s="189"/>
      <c r="HN103" s="189"/>
      <c r="HO103" s="189"/>
      <c r="HP103" s="189"/>
      <c r="HQ103" s="194"/>
      <c r="HR103" s="281"/>
      <c r="HS103" s="279"/>
      <c r="HT103" s="279"/>
      <c r="HU103" s="189"/>
      <c r="HV103" s="189"/>
      <c r="HW103" s="189"/>
      <c r="HX103" s="189"/>
      <c r="HY103" s="194"/>
      <c r="HZ103" s="281"/>
      <c r="IA103" s="279"/>
      <c r="IB103" s="279"/>
      <c r="IC103" s="189"/>
      <c r="ID103" s="189"/>
      <c r="IE103" s="189"/>
      <c r="IF103" s="189"/>
      <c r="IG103" s="194"/>
      <c r="IH103" s="281"/>
      <c r="II103" s="279"/>
      <c r="IJ103" s="279"/>
      <c r="IK103" s="189"/>
      <c r="IL103" s="189"/>
      <c r="IM103" s="189"/>
      <c r="IN103" s="189"/>
    </row>
    <row r="104" spans="1:248" s="188" customFormat="1" ht="25.5">
      <c r="A104" s="227"/>
      <c r="B104" s="249" t="s">
        <v>485</v>
      </c>
      <c r="C104" s="290" t="s">
        <v>476</v>
      </c>
      <c r="D104" s="210">
        <v>85</v>
      </c>
      <c r="E104" s="247">
        <v>1</v>
      </c>
      <c r="F104" s="247">
        <v>1</v>
      </c>
      <c r="G104" s="210">
        <v>85</v>
      </c>
      <c r="H104" s="291">
        <f t="shared" si="5"/>
        <v>1712.040337812624</v>
      </c>
      <c r="I104" s="212"/>
      <c r="J104" s="281"/>
      <c r="K104" s="279"/>
      <c r="L104" s="279"/>
      <c r="M104" s="189"/>
      <c r="N104" s="189"/>
      <c r="O104" s="189"/>
      <c r="P104" s="189"/>
      <c r="Q104" s="194"/>
      <c r="R104" s="281"/>
      <c r="S104" s="279"/>
      <c r="T104" s="279"/>
      <c r="U104" s="189"/>
      <c r="V104" s="189"/>
      <c r="W104" s="189"/>
      <c r="X104" s="189"/>
      <c r="Y104" s="194"/>
      <c r="Z104" s="281"/>
      <c r="AA104" s="279"/>
      <c r="AB104" s="279"/>
      <c r="AC104" s="189"/>
      <c r="AD104" s="189"/>
      <c r="AE104" s="189"/>
      <c r="AF104" s="189"/>
      <c r="AG104" s="194"/>
      <c r="AH104" s="281"/>
      <c r="AI104" s="279"/>
      <c r="AJ104" s="279"/>
      <c r="AK104" s="189"/>
      <c r="AL104" s="189"/>
      <c r="AM104" s="189"/>
      <c r="AN104" s="189"/>
      <c r="AO104" s="194"/>
      <c r="AP104" s="281"/>
      <c r="AQ104" s="279"/>
      <c r="AR104" s="279"/>
      <c r="AS104" s="189"/>
      <c r="AT104" s="189"/>
      <c r="AU104" s="189"/>
      <c r="AV104" s="189"/>
      <c r="AW104" s="194"/>
      <c r="AX104" s="281"/>
      <c r="AY104" s="279"/>
      <c r="AZ104" s="279"/>
      <c r="BA104" s="189"/>
      <c r="BB104" s="189"/>
      <c r="BC104" s="189"/>
      <c r="BD104" s="189"/>
      <c r="BE104" s="194"/>
      <c r="BF104" s="281"/>
      <c r="BG104" s="279"/>
      <c r="BH104" s="279"/>
      <c r="BI104" s="189"/>
      <c r="BJ104" s="189"/>
      <c r="BK104" s="189"/>
      <c r="BL104" s="189"/>
      <c r="BM104" s="194"/>
      <c r="BN104" s="281"/>
      <c r="BO104" s="279"/>
      <c r="BP104" s="279"/>
      <c r="BQ104" s="189"/>
      <c r="BR104" s="189"/>
      <c r="BS104" s="189"/>
      <c r="BT104" s="189"/>
      <c r="BU104" s="194"/>
      <c r="BV104" s="281"/>
      <c r="BW104" s="279"/>
      <c r="BX104" s="279"/>
      <c r="BY104" s="189"/>
      <c r="BZ104" s="189"/>
      <c r="CA104" s="189"/>
      <c r="CB104" s="189"/>
      <c r="CC104" s="194"/>
      <c r="CD104" s="281"/>
      <c r="CE104" s="279"/>
      <c r="CF104" s="279"/>
      <c r="CG104" s="189"/>
      <c r="CH104" s="189"/>
      <c r="CI104" s="189"/>
      <c r="CJ104" s="189"/>
      <c r="CK104" s="194"/>
      <c r="CL104" s="281"/>
      <c r="CM104" s="279"/>
      <c r="CN104" s="279"/>
      <c r="CO104" s="189"/>
      <c r="CP104" s="189"/>
      <c r="CQ104" s="189"/>
      <c r="CR104" s="189"/>
      <c r="CS104" s="194"/>
      <c r="CT104" s="281"/>
      <c r="CU104" s="279"/>
      <c r="CV104" s="279"/>
      <c r="CW104" s="189"/>
      <c r="CX104" s="189"/>
      <c r="CY104" s="189"/>
      <c r="CZ104" s="189"/>
      <c r="DA104" s="194"/>
      <c r="DB104" s="281"/>
      <c r="DC104" s="279"/>
      <c r="DD104" s="279"/>
      <c r="DE104" s="189"/>
      <c r="DF104" s="189"/>
      <c r="DG104" s="189"/>
      <c r="DH104" s="189"/>
      <c r="DI104" s="194"/>
      <c r="DJ104" s="281"/>
      <c r="DK104" s="279"/>
      <c r="DL104" s="279"/>
      <c r="DM104" s="189"/>
      <c r="DN104" s="189"/>
      <c r="DO104" s="189"/>
      <c r="DP104" s="189"/>
      <c r="DQ104" s="194"/>
      <c r="DR104" s="281"/>
      <c r="DS104" s="279"/>
      <c r="DT104" s="279"/>
      <c r="DU104" s="189"/>
      <c r="DV104" s="189"/>
      <c r="DW104" s="189"/>
      <c r="DX104" s="189"/>
      <c r="DY104" s="194"/>
      <c r="DZ104" s="281"/>
      <c r="EA104" s="279"/>
      <c r="EB104" s="279"/>
      <c r="EC104" s="189"/>
      <c r="ED104" s="189"/>
      <c r="EE104" s="189"/>
      <c r="EF104" s="189"/>
      <c r="EG104" s="194"/>
      <c r="EH104" s="281"/>
      <c r="EI104" s="279"/>
      <c r="EJ104" s="279"/>
      <c r="EK104" s="189"/>
      <c r="EL104" s="189"/>
      <c r="EM104" s="189"/>
      <c r="EN104" s="189"/>
      <c r="EO104" s="194"/>
      <c r="EP104" s="281"/>
      <c r="EQ104" s="279"/>
      <c r="ER104" s="279"/>
      <c r="ES104" s="189"/>
      <c r="ET104" s="189"/>
      <c r="EU104" s="189"/>
      <c r="EV104" s="189"/>
      <c r="EW104" s="194"/>
      <c r="EX104" s="281"/>
      <c r="EY104" s="279"/>
      <c r="EZ104" s="279"/>
      <c r="FA104" s="189"/>
      <c r="FB104" s="189"/>
      <c r="FC104" s="189"/>
      <c r="FD104" s="189"/>
      <c r="FE104" s="194"/>
      <c r="FF104" s="281"/>
      <c r="FG104" s="279"/>
      <c r="FH104" s="279"/>
      <c r="FI104" s="189"/>
      <c r="FJ104" s="189"/>
      <c r="FK104" s="189"/>
      <c r="FL104" s="189"/>
      <c r="FM104" s="194"/>
      <c r="FN104" s="281"/>
      <c r="FO104" s="279"/>
      <c r="FP104" s="279"/>
      <c r="FQ104" s="189"/>
      <c r="FR104" s="189"/>
      <c r="FS104" s="189"/>
      <c r="FT104" s="189"/>
      <c r="FU104" s="194"/>
      <c r="FV104" s="281"/>
      <c r="FW104" s="279"/>
      <c r="FX104" s="279"/>
      <c r="FY104" s="189"/>
      <c r="FZ104" s="189"/>
      <c r="GA104" s="189"/>
      <c r="GB104" s="189"/>
      <c r="GC104" s="194"/>
      <c r="GD104" s="281"/>
      <c r="GE104" s="279"/>
      <c r="GF104" s="279"/>
      <c r="GG104" s="189"/>
      <c r="GH104" s="189"/>
      <c r="GI104" s="189"/>
      <c r="GJ104" s="189"/>
      <c r="GK104" s="194"/>
      <c r="GL104" s="281"/>
      <c r="GM104" s="279"/>
      <c r="GN104" s="279"/>
      <c r="GO104" s="189"/>
      <c r="GP104" s="189"/>
      <c r="GQ104" s="189"/>
      <c r="GR104" s="189"/>
      <c r="GS104" s="194"/>
      <c r="GT104" s="281"/>
      <c r="GU104" s="279"/>
      <c r="GV104" s="279"/>
      <c r="GW104" s="189"/>
      <c r="GX104" s="189"/>
      <c r="GY104" s="189"/>
      <c r="GZ104" s="189"/>
      <c r="HA104" s="194"/>
      <c r="HB104" s="281"/>
      <c r="HC104" s="279"/>
      <c r="HD104" s="279"/>
      <c r="HE104" s="189"/>
      <c r="HF104" s="189"/>
      <c r="HG104" s="189"/>
      <c r="HH104" s="189"/>
      <c r="HI104" s="194"/>
      <c r="HJ104" s="281"/>
      <c r="HK104" s="279"/>
      <c r="HL104" s="279"/>
      <c r="HM104" s="189"/>
      <c r="HN104" s="189"/>
      <c r="HO104" s="189"/>
      <c r="HP104" s="189"/>
      <c r="HQ104" s="194"/>
      <c r="HR104" s="281"/>
      <c r="HS104" s="279"/>
      <c r="HT104" s="279"/>
      <c r="HU104" s="189"/>
      <c r="HV104" s="189"/>
      <c r="HW104" s="189"/>
      <c r="HX104" s="189"/>
      <c r="HY104" s="194"/>
      <c r="HZ104" s="281"/>
      <c r="IA104" s="279"/>
      <c r="IB104" s="279"/>
      <c r="IC104" s="189"/>
      <c r="ID104" s="189"/>
      <c r="IE104" s="189"/>
      <c r="IF104" s="189"/>
      <c r="IG104" s="194"/>
      <c r="IH104" s="281"/>
      <c r="II104" s="279"/>
      <c r="IJ104" s="279"/>
      <c r="IK104" s="189"/>
      <c r="IL104" s="189"/>
      <c r="IM104" s="189"/>
      <c r="IN104" s="189"/>
    </row>
    <row r="105" spans="1:248" s="188" customFormat="1" ht="12.75">
      <c r="A105" s="227"/>
      <c r="B105" s="249" t="s">
        <v>545</v>
      </c>
      <c r="C105" s="290" t="s">
        <v>476</v>
      </c>
      <c r="D105" s="210">
        <v>153</v>
      </c>
      <c r="E105" s="247">
        <v>1</v>
      </c>
      <c r="F105" s="247">
        <v>1</v>
      </c>
      <c r="G105" s="210">
        <v>153</v>
      </c>
      <c r="H105" s="291">
        <f t="shared" si="5"/>
        <v>3081.672608062723</v>
      </c>
      <c r="I105" s="212"/>
      <c r="J105" s="281"/>
      <c r="K105" s="279"/>
      <c r="L105" s="279"/>
      <c r="M105" s="189"/>
      <c r="N105" s="189"/>
      <c r="O105" s="189"/>
      <c r="P105" s="189"/>
      <c r="Q105" s="194"/>
      <c r="R105" s="281"/>
      <c r="S105" s="279"/>
      <c r="T105" s="279"/>
      <c r="U105" s="189"/>
      <c r="V105" s="189"/>
      <c r="W105" s="189"/>
      <c r="X105" s="189"/>
      <c r="Y105" s="194"/>
      <c r="Z105" s="281"/>
      <c r="AA105" s="279"/>
      <c r="AB105" s="279"/>
      <c r="AC105" s="189"/>
      <c r="AD105" s="189"/>
      <c r="AE105" s="189"/>
      <c r="AF105" s="189"/>
      <c r="AG105" s="194"/>
      <c r="AH105" s="281"/>
      <c r="AI105" s="279"/>
      <c r="AJ105" s="279"/>
      <c r="AK105" s="189"/>
      <c r="AL105" s="189"/>
      <c r="AM105" s="189"/>
      <c r="AN105" s="189"/>
      <c r="AO105" s="194"/>
      <c r="AP105" s="281"/>
      <c r="AQ105" s="279"/>
      <c r="AR105" s="279"/>
      <c r="AS105" s="189"/>
      <c r="AT105" s="189"/>
      <c r="AU105" s="189"/>
      <c r="AV105" s="189"/>
      <c r="AW105" s="194"/>
      <c r="AX105" s="281"/>
      <c r="AY105" s="279"/>
      <c r="AZ105" s="279"/>
      <c r="BA105" s="189"/>
      <c r="BB105" s="189"/>
      <c r="BC105" s="189"/>
      <c r="BD105" s="189"/>
      <c r="BE105" s="194"/>
      <c r="BF105" s="281"/>
      <c r="BG105" s="279"/>
      <c r="BH105" s="279"/>
      <c r="BI105" s="189"/>
      <c r="BJ105" s="189"/>
      <c r="BK105" s="189"/>
      <c r="BL105" s="189"/>
      <c r="BM105" s="194"/>
      <c r="BN105" s="281"/>
      <c r="BO105" s="279"/>
      <c r="BP105" s="279"/>
      <c r="BQ105" s="189"/>
      <c r="BR105" s="189"/>
      <c r="BS105" s="189"/>
      <c r="BT105" s="189"/>
      <c r="BU105" s="194"/>
      <c r="BV105" s="281"/>
      <c r="BW105" s="279"/>
      <c r="BX105" s="279"/>
      <c r="BY105" s="189"/>
      <c r="BZ105" s="189"/>
      <c r="CA105" s="189"/>
      <c r="CB105" s="189"/>
      <c r="CC105" s="194"/>
      <c r="CD105" s="281"/>
      <c r="CE105" s="279"/>
      <c r="CF105" s="279"/>
      <c r="CG105" s="189"/>
      <c r="CH105" s="189"/>
      <c r="CI105" s="189"/>
      <c r="CJ105" s="189"/>
      <c r="CK105" s="194"/>
      <c r="CL105" s="281"/>
      <c r="CM105" s="279"/>
      <c r="CN105" s="279"/>
      <c r="CO105" s="189"/>
      <c r="CP105" s="189"/>
      <c r="CQ105" s="189"/>
      <c r="CR105" s="189"/>
      <c r="CS105" s="194"/>
      <c r="CT105" s="281"/>
      <c r="CU105" s="279"/>
      <c r="CV105" s="279"/>
      <c r="CW105" s="189"/>
      <c r="CX105" s="189"/>
      <c r="CY105" s="189"/>
      <c r="CZ105" s="189"/>
      <c r="DA105" s="194"/>
      <c r="DB105" s="281"/>
      <c r="DC105" s="279"/>
      <c r="DD105" s="279"/>
      <c r="DE105" s="189"/>
      <c r="DF105" s="189"/>
      <c r="DG105" s="189"/>
      <c r="DH105" s="189"/>
      <c r="DI105" s="194"/>
      <c r="DJ105" s="281"/>
      <c r="DK105" s="279"/>
      <c r="DL105" s="279"/>
      <c r="DM105" s="189"/>
      <c r="DN105" s="189"/>
      <c r="DO105" s="189"/>
      <c r="DP105" s="189"/>
      <c r="DQ105" s="194"/>
      <c r="DR105" s="281"/>
      <c r="DS105" s="279"/>
      <c r="DT105" s="279"/>
      <c r="DU105" s="189"/>
      <c r="DV105" s="189"/>
      <c r="DW105" s="189"/>
      <c r="DX105" s="189"/>
      <c r="DY105" s="194"/>
      <c r="DZ105" s="281"/>
      <c r="EA105" s="279"/>
      <c r="EB105" s="279"/>
      <c r="EC105" s="189"/>
      <c r="ED105" s="189"/>
      <c r="EE105" s="189"/>
      <c r="EF105" s="189"/>
      <c r="EG105" s="194"/>
      <c r="EH105" s="281"/>
      <c r="EI105" s="279"/>
      <c r="EJ105" s="279"/>
      <c r="EK105" s="189"/>
      <c r="EL105" s="189"/>
      <c r="EM105" s="189"/>
      <c r="EN105" s="189"/>
      <c r="EO105" s="194"/>
      <c r="EP105" s="281"/>
      <c r="EQ105" s="279"/>
      <c r="ER105" s="279"/>
      <c r="ES105" s="189"/>
      <c r="ET105" s="189"/>
      <c r="EU105" s="189"/>
      <c r="EV105" s="189"/>
      <c r="EW105" s="194"/>
      <c r="EX105" s="281"/>
      <c r="EY105" s="279"/>
      <c r="EZ105" s="279"/>
      <c r="FA105" s="189"/>
      <c r="FB105" s="189"/>
      <c r="FC105" s="189"/>
      <c r="FD105" s="189"/>
      <c r="FE105" s="194"/>
      <c r="FF105" s="281"/>
      <c r="FG105" s="279"/>
      <c r="FH105" s="279"/>
      <c r="FI105" s="189"/>
      <c r="FJ105" s="189"/>
      <c r="FK105" s="189"/>
      <c r="FL105" s="189"/>
      <c r="FM105" s="194"/>
      <c r="FN105" s="281"/>
      <c r="FO105" s="279"/>
      <c r="FP105" s="279"/>
      <c r="FQ105" s="189"/>
      <c r="FR105" s="189"/>
      <c r="FS105" s="189"/>
      <c r="FT105" s="189"/>
      <c r="FU105" s="194"/>
      <c r="FV105" s="281"/>
      <c r="FW105" s="279"/>
      <c r="FX105" s="279"/>
      <c r="FY105" s="189"/>
      <c r="FZ105" s="189"/>
      <c r="GA105" s="189"/>
      <c r="GB105" s="189"/>
      <c r="GC105" s="194"/>
      <c r="GD105" s="281"/>
      <c r="GE105" s="279"/>
      <c r="GF105" s="279"/>
      <c r="GG105" s="189"/>
      <c r="GH105" s="189"/>
      <c r="GI105" s="189"/>
      <c r="GJ105" s="189"/>
      <c r="GK105" s="194"/>
      <c r="GL105" s="281"/>
      <c r="GM105" s="279"/>
      <c r="GN105" s="279"/>
      <c r="GO105" s="189"/>
      <c r="GP105" s="189"/>
      <c r="GQ105" s="189"/>
      <c r="GR105" s="189"/>
      <c r="GS105" s="194"/>
      <c r="GT105" s="281"/>
      <c r="GU105" s="279"/>
      <c r="GV105" s="279"/>
      <c r="GW105" s="189"/>
      <c r="GX105" s="189"/>
      <c r="GY105" s="189"/>
      <c r="GZ105" s="189"/>
      <c r="HA105" s="194"/>
      <c r="HB105" s="281"/>
      <c r="HC105" s="279"/>
      <c r="HD105" s="279"/>
      <c r="HE105" s="189"/>
      <c r="HF105" s="189"/>
      <c r="HG105" s="189"/>
      <c r="HH105" s="189"/>
      <c r="HI105" s="194"/>
      <c r="HJ105" s="281"/>
      <c r="HK105" s="279"/>
      <c r="HL105" s="279"/>
      <c r="HM105" s="189"/>
      <c r="HN105" s="189"/>
      <c r="HO105" s="189"/>
      <c r="HP105" s="189"/>
      <c r="HQ105" s="194"/>
      <c r="HR105" s="281"/>
      <c r="HS105" s="279"/>
      <c r="HT105" s="279"/>
      <c r="HU105" s="189"/>
      <c r="HV105" s="189"/>
      <c r="HW105" s="189"/>
      <c r="HX105" s="189"/>
      <c r="HY105" s="194"/>
      <c r="HZ105" s="281"/>
      <c r="IA105" s="279"/>
      <c r="IB105" s="279"/>
      <c r="IC105" s="189"/>
      <c r="ID105" s="189"/>
      <c r="IE105" s="189"/>
      <c r="IF105" s="189"/>
      <c r="IG105" s="194"/>
      <c r="IH105" s="281"/>
      <c r="II105" s="279"/>
      <c r="IJ105" s="279"/>
      <c r="IK105" s="189"/>
      <c r="IL105" s="189"/>
      <c r="IM105" s="189"/>
      <c r="IN105" s="189"/>
    </row>
    <row r="106" spans="1:248" s="188" customFormat="1" ht="12.75">
      <c r="A106" s="227"/>
      <c r="B106" s="266" t="s">
        <v>450</v>
      </c>
      <c r="C106" s="290" t="s">
        <v>476</v>
      </c>
      <c r="D106" s="210">
        <v>114</v>
      </c>
      <c r="E106" s="247">
        <v>1</v>
      </c>
      <c r="F106" s="247">
        <v>1</v>
      </c>
      <c r="G106" s="210">
        <v>114</v>
      </c>
      <c r="H106" s="291">
        <f t="shared" si="5"/>
        <v>2296.148217772225</v>
      </c>
      <c r="I106" s="212"/>
      <c r="J106" s="281"/>
      <c r="K106" s="279"/>
      <c r="L106" s="279"/>
      <c r="M106" s="189"/>
      <c r="N106" s="189"/>
      <c r="O106" s="189"/>
      <c r="P106" s="189"/>
      <c r="Q106" s="194"/>
      <c r="R106" s="281"/>
      <c r="S106" s="279"/>
      <c r="T106" s="279"/>
      <c r="U106" s="189"/>
      <c r="V106" s="189"/>
      <c r="W106" s="189"/>
      <c r="X106" s="189"/>
      <c r="Y106" s="194"/>
      <c r="Z106" s="281"/>
      <c r="AA106" s="279"/>
      <c r="AB106" s="279"/>
      <c r="AC106" s="189"/>
      <c r="AD106" s="189"/>
      <c r="AE106" s="189"/>
      <c r="AF106" s="189"/>
      <c r="AG106" s="194"/>
      <c r="AH106" s="281"/>
      <c r="AI106" s="279"/>
      <c r="AJ106" s="279"/>
      <c r="AK106" s="189"/>
      <c r="AL106" s="189"/>
      <c r="AM106" s="189"/>
      <c r="AN106" s="189"/>
      <c r="AO106" s="194"/>
      <c r="AP106" s="281"/>
      <c r="AQ106" s="279"/>
      <c r="AR106" s="279"/>
      <c r="AS106" s="189"/>
      <c r="AT106" s="189"/>
      <c r="AU106" s="189"/>
      <c r="AV106" s="189"/>
      <c r="AW106" s="194"/>
      <c r="AX106" s="281"/>
      <c r="AY106" s="279"/>
      <c r="AZ106" s="279"/>
      <c r="BA106" s="189"/>
      <c r="BB106" s="189"/>
      <c r="BC106" s="189"/>
      <c r="BD106" s="189"/>
      <c r="BE106" s="194"/>
      <c r="BF106" s="281"/>
      <c r="BG106" s="279"/>
      <c r="BH106" s="279"/>
      <c r="BI106" s="189"/>
      <c r="BJ106" s="189"/>
      <c r="BK106" s="189"/>
      <c r="BL106" s="189"/>
      <c r="BM106" s="194"/>
      <c r="BN106" s="281"/>
      <c r="BO106" s="279"/>
      <c r="BP106" s="279"/>
      <c r="BQ106" s="189"/>
      <c r="BR106" s="189"/>
      <c r="BS106" s="189"/>
      <c r="BT106" s="189"/>
      <c r="BU106" s="194"/>
      <c r="BV106" s="281"/>
      <c r="BW106" s="279"/>
      <c r="BX106" s="279"/>
      <c r="BY106" s="189"/>
      <c r="BZ106" s="189"/>
      <c r="CA106" s="189"/>
      <c r="CB106" s="189"/>
      <c r="CC106" s="194"/>
      <c r="CD106" s="281"/>
      <c r="CE106" s="279"/>
      <c r="CF106" s="279"/>
      <c r="CG106" s="189"/>
      <c r="CH106" s="189"/>
      <c r="CI106" s="189"/>
      <c r="CJ106" s="189"/>
      <c r="CK106" s="194"/>
      <c r="CL106" s="281"/>
      <c r="CM106" s="279"/>
      <c r="CN106" s="279"/>
      <c r="CO106" s="189"/>
      <c r="CP106" s="189"/>
      <c r="CQ106" s="189"/>
      <c r="CR106" s="189"/>
      <c r="CS106" s="194"/>
      <c r="CT106" s="281"/>
      <c r="CU106" s="279"/>
      <c r="CV106" s="279"/>
      <c r="CW106" s="189"/>
      <c r="CX106" s="189"/>
      <c r="CY106" s="189"/>
      <c r="CZ106" s="189"/>
      <c r="DA106" s="194"/>
      <c r="DB106" s="281"/>
      <c r="DC106" s="279"/>
      <c r="DD106" s="279"/>
      <c r="DE106" s="189"/>
      <c r="DF106" s="189"/>
      <c r="DG106" s="189"/>
      <c r="DH106" s="189"/>
      <c r="DI106" s="194"/>
      <c r="DJ106" s="281"/>
      <c r="DK106" s="279"/>
      <c r="DL106" s="279"/>
      <c r="DM106" s="189"/>
      <c r="DN106" s="189"/>
      <c r="DO106" s="189"/>
      <c r="DP106" s="189"/>
      <c r="DQ106" s="194"/>
      <c r="DR106" s="281"/>
      <c r="DS106" s="279"/>
      <c r="DT106" s="279"/>
      <c r="DU106" s="189"/>
      <c r="DV106" s="189"/>
      <c r="DW106" s="189"/>
      <c r="DX106" s="189"/>
      <c r="DY106" s="194"/>
      <c r="DZ106" s="281"/>
      <c r="EA106" s="279"/>
      <c r="EB106" s="279"/>
      <c r="EC106" s="189"/>
      <c r="ED106" s="189"/>
      <c r="EE106" s="189"/>
      <c r="EF106" s="189"/>
      <c r="EG106" s="194"/>
      <c r="EH106" s="281"/>
      <c r="EI106" s="279"/>
      <c r="EJ106" s="279"/>
      <c r="EK106" s="189"/>
      <c r="EL106" s="189"/>
      <c r="EM106" s="189"/>
      <c r="EN106" s="189"/>
      <c r="EO106" s="194"/>
      <c r="EP106" s="281"/>
      <c r="EQ106" s="279"/>
      <c r="ER106" s="279"/>
      <c r="ES106" s="189"/>
      <c r="ET106" s="189"/>
      <c r="EU106" s="189"/>
      <c r="EV106" s="189"/>
      <c r="EW106" s="194"/>
      <c r="EX106" s="281"/>
      <c r="EY106" s="279"/>
      <c r="EZ106" s="279"/>
      <c r="FA106" s="189"/>
      <c r="FB106" s="189"/>
      <c r="FC106" s="189"/>
      <c r="FD106" s="189"/>
      <c r="FE106" s="194"/>
      <c r="FF106" s="281"/>
      <c r="FG106" s="279"/>
      <c r="FH106" s="279"/>
      <c r="FI106" s="189"/>
      <c r="FJ106" s="189"/>
      <c r="FK106" s="189"/>
      <c r="FL106" s="189"/>
      <c r="FM106" s="194"/>
      <c r="FN106" s="281"/>
      <c r="FO106" s="279"/>
      <c r="FP106" s="279"/>
      <c r="FQ106" s="189"/>
      <c r="FR106" s="189"/>
      <c r="FS106" s="189"/>
      <c r="FT106" s="189"/>
      <c r="FU106" s="194"/>
      <c r="FV106" s="281"/>
      <c r="FW106" s="279"/>
      <c r="FX106" s="279"/>
      <c r="FY106" s="189"/>
      <c r="FZ106" s="189"/>
      <c r="GA106" s="189"/>
      <c r="GB106" s="189"/>
      <c r="GC106" s="194"/>
      <c r="GD106" s="281"/>
      <c r="GE106" s="279"/>
      <c r="GF106" s="279"/>
      <c r="GG106" s="189"/>
      <c r="GH106" s="189"/>
      <c r="GI106" s="189"/>
      <c r="GJ106" s="189"/>
      <c r="GK106" s="194"/>
      <c r="GL106" s="281"/>
      <c r="GM106" s="279"/>
      <c r="GN106" s="279"/>
      <c r="GO106" s="189"/>
      <c r="GP106" s="189"/>
      <c r="GQ106" s="189"/>
      <c r="GR106" s="189"/>
      <c r="GS106" s="194"/>
      <c r="GT106" s="281"/>
      <c r="GU106" s="279"/>
      <c r="GV106" s="279"/>
      <c r="GW106" s="189"/>
      <c r="GX106" s="189"/>
      <c r="GY106" s="189"/>
      <c r="GZ106" s="189"/>
      <c r="HA106" s="194"/>
      <c r="HB106" s="281"/>
      <c r="HC106" s="279"/>
      <c r="HD106" s="279"/>
      <c r="HE106" s="189"/>
      <c r="HF106" s="189"/>
      <c r="HG106" s="189"/>
      <c r="HH106" s="189"/>
      <c r="HI106" s="194"/>
      <c r="HJ106" s="281"/>
      <c r="HK106" s="279"/>
      <c r="HL106" s="279"/>
      <c r="HM106" s="189"/>
      <c r="HN106" s="189"/>
      <c r="HO106" s="189"/>
      <c r="HP106" s="189"/>
      <c r="HQ106" s="194"/>
      <c r="HR106" s="281"/>
      <c r="HS106" s="279"/>
      <c r="HT106" s="279"/>
      <c r="HU106" s="189"/>
      <c r="HV106" s="189"/>
      <c r="HW106" s="189"/>
      <c r="HX106" s="189"/>
      <c r="HY106" s="194"/>
      <c r="HZ106" s="281"/>
      <c r="IA106" s="279"/>
      <c r="IB106" s="279"/>
      <c r="IC106" s="189"/>
      <c r="ID106" s="189"/>
      <c r="IE106" s="189"/>
      <c r="IF106" s="189"/>
      <c r="IG106" s="194"/>
      <c r="IH106" s="281"/>
      <c r="II106" s="279"/>
      <c r="IJ106" s="279"/>
      <c r="IK106" s="189"/>
      <c r="IL106" s="189"/>
      <c r="IM106" s="189"/>
      <c r="IN106" s="189"/>
    </row>
    <row r="107" spans="1:248" s="188" customFormat="1" ht="12.75">
      <c r="A107" s="227"/>
      <c r="B107" s="266" t="s">
        <v>486</v>
      </c>
      <c r="C107" s="290" t="s">
        <v>476</v>
      </c>
      <c r="D107" s="210">
        <v>305</v>
      </c>
      <c r="E107" s="247">
        <v>1</v>
      </c>
      <c r="F107" s="247">
        <v>1</v>
      </c>
      <c r="G107" s="210">
        <v>305</v>
      </c>
      <c r="H107" s="291">
        <f t="shared" si="5"/>
        <v>6143.203565092356</v>
      </c>
      <c r="I107" s="212"/>
      <c r="J107" s="281"/>
      <c r="K107" s="279"/>
      <c r="L107" s="279"/>
      <c r="M107" s="189"/>
      <c r="N107" s="189"/>
      <c r="O107" s="189"/>
      <c r="P107" s="189"/>
      <c r="Q107" s="194"/>
      <c r="R107" s="281"/>
      <c r="S107" s="279"/>
      <c r="T107" s="279"/>
      <c r="U107" s="189"/>
      <c r="V107" s="189"/>
      <c r="W107" s="189"/>
      <c r="X107" s="189"/>
      <c r="Y107" s="194"/>
      <c r="Z107" s="281"/>
      <c r="AA107" s="279"/>
      <c r="AB107" s="279"/>
      <c r="AC107" s="189"/>
      <c r="AD107" s="189"/>
      <c r="AE107" s="189"/>
      <c r="AF107" s="189"/>
      <c r="AG107" s="194"/>
      <c r="AH107" s="281"/>
      <c r="AI107" s="279"/>
      <c r="AJ107" s="279"/>
      <c r="AK107" s="189"/>
      <c r="AL107" s="189"/>
      <c r="AM107" s="189"/>
      <c r="AN107" s="189"/>
      <c r="AO107" s="194"/>
      <c r="AP107" s="281"/>
      <c r="AQ107" s="279"/>
      <c r="AR107" s="279"/>
      <c r="AS107" s="189"/>
      <c r="AT107" s="189"/>
      <c r="AU107" s="189"/>
      <c r="AV107" s="189"/>
      <c r="AW107" s="194"/>
      <c r="AX107" s="281"/>
      <c r="AY107" s="279"/>
      <c r="AZ107" s="279"/>
      <c r="BA107" s="189"/>
      <c r="BB107" s="189"/>
      <c r="BC107" s="189"/>
      <c r="BD107" s="189"/>
      <c r="BE107" s="194"/>
      <c r="BF107" s="281"/>
      <c r="BG107" s="279"/>
      <c r="BH107" s="279"/>
      <c r="BI107" s="189"/>
      <c r="BJ107" s="189"/>
      <c r="BK107" s="189"/>
      <c r="BL107" s="189"/>
      <c r="BM107" s="194"/>
      <c r="BN107" s="281"/>
      <c r="BO107" s="279"/>
      <c r="BP107" s="279"/>
      <c r="BQ107" s="189"/>
      <c r="BR107" s="189"/>
      <c r="BS107" s="189"/>
      <c r="BT107" s="189"/>
      <c r="BU107" s="194"/>
      <c r="BV107" s="281"/>
      <c r="BW107" s="279"/>
      <c r="BX107" s="279"/>
      <c r="BY107" s="189"/>
      <c r="BZ107" s="189"/>
      <c r="CA107" s="189"/>
      <c r="CB107" s="189"/>
      <c r="CC107" s="194"/>
      <c r="CD107" s="281"/>
      <c r="CE107" s="279"/>
      <c r="CF107" s="279"/>
      <c r="CG107" s="189"/>
      <c r="CH107" s="189"/>
      <c r="CI107" s="189"/>
      <c r="CJ107" s="189"/>
      <c r="CK107" s="194"/>
      <c r="CL107" s="281"/>
      <c r="CM107" s="279"/>
      <c r="CN107" s="279"/>
      <c r="CO107" s="189"/>
      <c r="CP107" s="189"/>
      <c r="CQ107" s="189"/>
      <c r="CR107" s="189"/>
      <c r="CS107" s="194"/>
      <c r="CT107" s="281"/>
      <c r="CU107" s="279"/>
      <c r="CV107" s="279"/>
      <c r="CW107" s="189"/>
      <c r="CX107" s="189"/>
      <c r="CY107" s="189"/>
      <c r="CZ107" s="189"/>
      <c r="DA107" s="194"/>
      <c r="DB107" s="281"/>
      <c r="DC107" s="279"/>
      <c r="DD107" s="279"/>
      <c r="DE107" s="189"/>
      <c r="DF107" s="189"/>
      <c r="DG107" s="189"/>
      <c r="DH107" s="189"/>
      <c r="DI107" s="194"/>
      <c r="DJ107" s="281"/>
      <c r="DK107" s="279"/>
      <c r="DL107" s="279"/>
      <c r="DM107" s="189"/>
      <c r="DN107" s="189"/>
      <c r="DO107" s="189"/>
      <c r="DP107" s="189"/>
      <c r="DQ107" s="194"/>
      <c r="DR107" s="281"/>
      <c r="DS107" s="279"/>
      <c r="DT107" s="279"/>
      <c r="DU107" s="189"/>
      <c r="DV107" s="189"/>
      <c r="DW107" s="189"/>
      <c r="DX107" s="189"/>
      <c r="DY107" s="194"/>
      <c r="DZ107" s="281"/>
      <c r="EA107" s="279"/>
      <c r="EB107" s="279"/>
      <c r="EC107" s="189"/>
      <c r="ED107" s="189"/>
      <c r="EE107" s="189"/>
      <c r="EF107" s="189"/>
      <c r="EG107" s="194"/>
      <c r="EH107" s="281"/>
      <c r="EI107" s="279"/>
      <c r="EJ107" s="279"/>
      <c r="EK107" s="189"/>
      <c r="EL107" s="189"/>
      <c r="EM107" s="189"/>
      <c r="EN107" s="189"/>
      <c r="EO107" s="194"/>
      <c r="EP107" s="281"/>
      <c r="EQ107" s="279"/>
      <c r="ER107" s="279"/>
      <c r="ES107" s="189"/>
      <c r="ET107" s="189"/>
      <c r="EU107" s="189"/>
      <c r="EV107" s="189"/>
      <c r="EW107" s="194"/>
      <c r="EX107" s="281"/>
      <c r="EY107" s="279"/>
      <c r="EZ107" s="279"/>
      <c r="FA107" s="189"/>
      <c r="FB107" s="189"/>
      <c r="FC107" s="189"/>
      <c r="FD107" s="189"/>
      <c r="FE107" s="194"/>
      <c r="FF107" s="281"/>
      <c r="FG107" s="279"/>
      <c r="FH107" s="279"/>
      <c r="FI107" s="189"/>
      <c r="FJ107" s="189"/>
      <c r="FK107" s="189"/>
      <c r="FL107" s="189"/>
      <c r="FM107" s="194"/>
      <c r="FN107" s="281"/>
      <c r="FO107" s="279"/>
      <c r="FP107" s="279"/>
      <c r="FQ107" s="189"/>
      <c r="FR107" s="189"/>
      <c r="FS107" s="189"/>
      <c r="FT107" s="189"/>
      <c r="FU107" s="194"/>
      <c r="FV107" s="281"/>
      <c r="FW107" s="279"/>
      <c r="FX107" s="279"/>
      <c r="FY107" s="189"/>
      <c r="FZ107" s="189"/>
      <c r="GA107" s="189"/>
      <c r="GB107" s="189"/>
      <c r="GC107" s="194"/>
      <c r="GD107" s="281"/>
      <c r="GE107" s="279"/>
      <c r="GF107" s="279"/>
      <c r="GG107" s="189"/>
      <c r="GH107" s="189"/>
      <c r="GI107" s="189"/>
      <c r="GJ107" s="189"/>
      <c r="GK107" s="194"/>
      <c r="GL107" s="281"/>
      <c r="GM107" s="279"/>
      <c r="GN107" s="279"/>
      <c r="GO107" s="189"/>
      <c r="GP107" s="189"/>
      <c r="GQ107" s="189"/>
      <c r="GR107" s="189"/>
      <c r="GS107" s="194"/>
      <c r="GT107" s="281"/>
      <c r="GU107" s="279"/>
      <c r="GV107" s="279"/>
      <c r="GW107" s="189"/>
      <c r="GX107" s="189"/>
      <c r="GY107" s="189"/>
      <c r="GZ107" s="189"/>
      <c r="HA107" s="194"/>
      <c r="HB107" s="281"/>
      <c r="HC107" s="279"/>
      <c r="HD107" s="279"/>
      <c r="HE107" s="189"/>
      <c r="HF107" s="189"/>
      <c r="HG107" s="189"/>
      <c r="HH107" s="189"/>
      <c r="HI107" s="194"/>
      <c r="HJ107" s="281"/>
      <c r="HK107" s="279"/>
      <c r="HL107" s="279"/>
      <c r="HM107" s="189"/>
      <c r="HN107" s="189"/>
      <c r="HO107" s="189"/>
      <c r="HP107" s="189"/>
      <c r="HQ107" s="194"/>
      <c r="HR107" s="281"/>
      <c r="HS107" s="279"/>
      <c r="HT107" s="279"/>
      <c r="HU107" s="189"/>
      <c r="HV107" s="189"/>
      <c r="HW107" s="189"/>
      <c r="HX107" s="189"/>
      <c r="HY107" s="194"/>
      <c r="HZ107" s="281"/>
      <c r="IA107" s="279"/>
      <c r="IB107" s="279"/>
      <c r="IC107" s="189"/>
      <c r="ID107" s="189"/>
      <c r="IE107" s="189"/>
      <c r="IF107" s="189"/>
      <c r="IG107" s="194"/>
      <c r="IH107" s="281"/>
      <c r="II107" s="279"/>
      <c r="IJ107" s="279"/>
      <c r="IK107" s="189"/>
      <c r="IL107" s="189"/>
      <c r="IM107" s="189"/>
      <c r="IN107" s="189"/>
    </row>
    <row r="108" spans="1:248" s="188" customFormat="1" ht="12.75">
      <c r="A108" s="227"/>
      <c r="B108" s="266" t="s">
        <v>459</v>
      </c>
      <c r="C108" s="290" t="s">
        <v>476</v>
      </c>
      <c r="D108" s="210">
        <v>30</v>
      </c>
      <c r="E108" s="247">
        <v>1</v>
      </c>
      <c r="F108" s="247">
        <v>1</v>
      </c>
      <c r="G108" s="210">
        <v>30</v>
      </c>
      <c r="H108" s="291">
        <f t="shared" si="5"/>
        <v>604.2495309926908</v>
      </c>
      <c r="I108" s="212"/>
      <c r="J108" s="281"/>
      <c r="K108" s="279"/>
      <c r="L108" s="279"/>
      <c r="M108" s="189"/>
      <c r="N108" s="189"/>
      <c r="O108" s="189"/>
      <c r="P108" s="189"/>
      <c r="Q108" s="194"/>
      <c r="R108" s="281"/>
      <c r="S108" s="279"/>
      <c r="T108" s="279"/>
      <c r="U108" s="189"/>
      <c r="V108" s="189"/>
      <c r="W108" s="189"/>
      <c r="X108" s="189"/>
      <c r="Y108" s="194"/>
      <c r="Z108" s="281"/>
      <c r="AA108" s="279"/>
      <c r="AB108" s="279"/>
      <c r="AC108" s="189"/>
      <c r="AD108" s="189"/>
      <c r="AE108" s="189"/>
      <c r="AF108" s="189"/>
      <c r="AG108" s="194"/>
      <c r="AH108" s="281"/>
      <c r="AI108" s="279"/>
      <c r="AJ108" s="279"/>
      <c r="AK108" s="189"/>
      <c r="AL108" s="189"/>
      <c r="AM108" s="189"/>
      <c r="AN108" s="189"/>
      <c r="AO108" s="194"/>
      <c r="AP108" s="281"/>
      <c r="AQ108" s="279"/>
      <c r="AR108" s="279"/>
      <c r="AS108" s="189"/>
      <c r="AT108" s="189"/>
      <c r="AU108" s="189"/>
      <c r="AV108" s="189"/>
      <c r="AW108" s="194"/>
      <c r="AX108" s="281"/>
      <c r="AY108" s="279"/>
      <c r="AZ108" s="279"/>
      <c r="BA108" s="189"/>
      <c r="BB108" s="189"/>
      <c r="BC108" s="189"/>
      <c r="BD108" s="189"/>
      <c r="BE108" s="194"/>
      <c r="BF108" s="281"/>
      <c r="BG108" s="279"/>
      <c r="BH108" s="279"/>
      <c r="BI108" s="189"/>
      <c r="BJ108" s="189"/>
      <c r="BK108" s="189"/>
      <c r="BL108" s="189"/>
      <c r="BM108" s="194"/>
      <c r="BN108" s="281"/>
      <c r="BO108" s="279"/>
      <c r="BP108" s="279"/>
      <c r="BQ108" s="189"/>
      <c r="BR108" s="189"/>
      <c r="BS108" s="189"/>
      <c r="BT108" s="189"/>
      <c r="BU108" s="194"/>
      <c r="BV108" s="281"/>
      <c r="BW108" s="279"/>
      <c r="BX108" s="279"/>
      <c r="BY108" s="189"/>
      <c r="BZ108" s="189"/>
      <c r="CA108" s="189"/>
      <c r="CB108" s="189"/>
      <c r="CC108" s="194"/>
      <c r="CD108" s="281"/>
      <c r="CE108" s="279"/>
      <c r="CF108" s="279"/>
      <c r="CG108" s="189"/>
      <c r="CH108" s="189"/>
      <c r="CI108" s="189"/>
      <c r="CJ108" s="189"/>
      <c r="CK108" s="194"/>
      <c r="CL108" s="281"/>
      <c r="CM108" s="279"/>
      <c r="CN108" s="279"/>
      <c r="CO108" s="189"/>
      <c r="CP108" s="189"/>
      <c r="CQ108" s="189"/>
      <c r="CR108" s="189"/>
      <c r="CS108" s="194"/>
      <c r="CT108" s="281"/>
      <c r="CU108" s="279"/>
      <c r="CV108" s="279"/>
      <c r="CW108" s="189"/>
      <c r="CX108" s="189"/>
      <c r="CY108" s="189"/>
      <c r="CZ108" s="189"/>
      <c r="DA108" s="194"/>
      <c r="DB108" s="281"/>
      <c r="DC108" s="279"/>
      <c r="DD108" s="279"/>
      <c r="DE108" s="189"/>
      <c r="DF108" s="189"/>
      <c r="DG108" s="189"/>
      <c r="DH108" s="189"/>
      <c r="DI108" s="194"/>
      <c r="DJ108" s="281"/>
      <c r="DK108" s="279"/>
      <c r="DL108" s="279"/>
      <c r="DM108" s="189"/>
      <c r="DN108" s="189"/>
      <c r="DO108" s="189"/>
      <c r="DP108" s="189"/>
      <c r="DQ108" s="194"/>
      <c r="DR108" s="281"/>
      <c r="DS108" s="279"/>
      <c r="DT108" s="279"/>
      <c r="DU108" s="189"/>
      <c r="DV108" s="189"/>
      <c r="DW108" s="189"/>
      <c r="DX108" s="189"/>
      <c r="DY108" s="194"/>
      <c r="DZ108" s="281"/>
      <c r="EA108" s="279"/>
      <c r="EB108" s="279"/>
      <c r="EC108" s="189"/>
      <c r="ED108" s="189"/>
      <c r="EE108" s="189"/>
      <c r="EF108" s="189"/>
      <c r="EG108" s="194"/>
      <c r="EH108" s="281"/>
      <c r="EI108" s="279"/>
      <c r="EJ108" s="279"/>
      <c r="EK108" s="189"/>
      <c r="EL108" s="189"/>
      <c r="EM108" s="189"/>
      <c r="EN108" s="189"/>
      <c r="EO108" s="194"/>
      <c r="EP108" s="281"/>
      <c r="EQ108" s="279"/>
      <c r="ER108" s="279"/>
      <c r="ES108" s="189"/>
      <c r="ET108" s="189"/>
      <c r="EU108" s="189"/>
      <c r="EV108" s="189"/>
      <c r="EW108" s="194"/>
      <c r="EX108" s="281"/>
      <c r="EY108" s="279"/>
      <c r="EZ108" s="279"/>
      <c r="FA108" s="189"/>
      <c r="FB108" s="189"/>
      <c r="FC108" s="189"/>
      <c r="FD108" s="189"/>
      <c r="FE108" s="194"/>
      <c r="FF108" s="281"/>
      <c r="FG108" s="279"/>
      <c r="FH108" s="279"/>
      <c r="FI108" s="189"/>
      <c r="FJ108" s="189"/>
      <c r="FK108" s="189"/>
      <c r="FL108" s="189"/>
      <c r="FM108" s="194"/>
      <c r="FN108" s="281"/>
      <c r="FO108" s="279"/>
      <c r="FP108" s="279"/>
      <c r="FQ108" s="189"/>
      <c r="FR108" s="189"/>
      <c r="FS108" s="189"/>
      <c r="FT108" s="189"/>
      <c r="FU108" s="194"/>
      <c r="FV108" s="281"/>
      <c r="FW108" s="279"/>
      <c r="FX108" s="279"/>
      <c r="FY108" s="189"/>
      <c r="FZ108" s="189"/>
      <c r="GA108" s="189"/>
      <c r="GB108" s="189"/>
      <c r="GC108" s="194"/>
      <c r="GD108" s="281"/>
      <c r="GE108" s="279"/>
      <c r="GF108" s="279"/>
      <c r="GG108" s="189"/>
      <c r="GH108" s="189"/>
      <c r="GI108" s="189"/>
      <c r="GJ108" s="189"/>
      <c r="GK108" s="194"/>
      <c r="GL108" s="281"/>
      <c r="GM108" s="279"/>
      <c r="GN108" s="279"/>
      <c r="GO108" s="189"/>
      <c r="GP108" s="189"/>
      <c r="GQ108" s="189"/>
      <c r="GR108" s="189"/>
      <c r="GS108" s="194"/>
      <c r="GT108" s="281"/>
      <c r="GU108" s="279"/>
      <c r="GV108" s="279"/>
      <c r="GW108" s="189"/>
      <c r="GX108" s="189"/>
      <c r="GY108" s="189"/>
      <c r="GZ108" s="189"/>
      <c r="HA108" s="194"/>
      <c r="HB108" s="281"/>
      <c r="HC108" s="279"/>
      <c r="HD108" s="279"/>
      <c r="HE108" s="189"/>
      <c r="HF108" s="189"/>
      <c r="HG108" s="189"/>
      <c r="HH108" s="189"/>
      <c r="HI108" s="194"/>
      <c r="HJ108" s="281"/>
      <c r="HK108" s="279"/>
      <c r="HL108" s="279"/>
      <c r="HM108" s="189"/>
      <c r="HN108" s="189"/>
      <c r="HO108" s="189"/>
      <c r="HP108" s="189"/>
      <c r="HQ108" s="194"/>
      <c r="HR108" s="281"/>
      <c r="HS108" s="279"/>
      <c r="HT108" s="279"/>
      <c r="HU108" s="189"/>
      <c r="HV108" s="189"/>
      <c r="HW108" s="189"/>
      <c r="HX108" s="189"/>
      <c r="HY108" s="194"/>
      <c r="HZ108" s="281"/>
      <c r="IA108" s="279"/>
      <c r="IB108" s="279"/>
      <c r="IC108" s="189"/>
      <c r="ID108" s="189"/>
      <c r="IE108" s="189"/>
      <c r="IF108" s="189"/>
      <c r="IG108" s="194"/>
      <c r="IH108" s="281"/>
      <c r="II108" s="279"/>
      <c r="IJ108" s="279"/>
      <c r="IK108" s="189"/>
      <c r="IL108" s="189"/>
      <c r="IM108" s="189"/>
      <c r="IN108" s="189"/>
    </row>
    <row r="109" spans="1:248" s="188" customFormat="1" ht="12.75">
      <c r="A109" s="227"/>
      <c r="B109" s="266" t="s">
        <v>483</v>
      </c>
      <c r="C109" s="290" t="s">
        <v>476</v>
      </c>
      <c r="D109" s="289">
        <v>64</v>
      </c>
      <c r="E109" s="247">
        <v>1</v>
      </c>
      <c r="F109" s="247">
        <v>1</v>
      </c>
      <c r="G109" s="289">
        <v>64</v>
      </c>
      <c r="H109" s="291">
        <f t="shared" si="5"/>
        <v>1289.0656661177404</v>
      </c>
      <c r="I109" s="212"/>
      <c r="J109" s="281"/>
      <c r="K109" s="279"/>
      <c r="L109" s="279"/>
      <c r="M109" s="189"/>
      <c r="N109" s="189"/>
      <c r="O109" s="189"/>
      <c r="P109" s="189"/>
      <c r="Q109" s="194"/>
      <c r="R109" s="281"/>
      <c r="S109" s="279"/>
      <c r="T109" s="279"/>
      <c r="U109" s="189"/>
      <c r="V109" s="189"/>
      <c r="W109" s="189"/>
      <c r="X109" s="189"/>
      <c r="Y109" s="194"/>
      <c r="Z109" s="281"/>
      <c r="AA109" s="279"/>
      <c r="AB109" s="279"/>
      <c r="AC109" s="189"/>
      <c r="AD109" s="189"/>
      <c r="AE109" s="189"/>
      <c r="AF109" s="189"/>
      <c r="AG109" s="194"/>
      <c r="AH109" s="281"/>
      <c r="AI109" s="279"/>
      <c r="AJ109" s="279"/>
      <c r="AK109" s="189"/>
      <c r="AL109" s="189"/>
      <c r="AM109" s="189"/>
      <c r="AN109" s="189"/>
      <c r="AO109" s="194"/>
      <c r="AP109" s="281"/>
      <c r="AQ109" s="279"/>
      <c r="AR109" s="279"/>
      <c r="AS109" s="189"/>
      <c r="AT109" s="189"/>
      <c r="AU109" s="189"/>
      <c r="AV109" s="189"/>
      <c r="AW109" s="194"/>
      <c r="AX109" s="281"/>
      <c r="AY109" s="279"/>
      <c r="AZ109" s="279"/>
      <c r="BA109" s="189"/>
      <c r="BB109" s="189"/>
      <c r="BC109" s="189"/>
      <c r="BD109" s="189"/>
      <c r="BE109" s="194"/>
      <c r="BF109" s="281"/>
      <c r="BG109" s="279"/>
      <c r="BH109" s="279"/>
      <c r="BI109" s="189"/>
      <c r="BJ109" s="189"/>
      <c r="BK109" s="189"/>
      <c r="BL109" s="189"/>
      <c r="BM109" s="194"/>
      <c r="BN109" s="281"/>
      <c r="BO109" s="279"/>
      <c r="BP109" s="279"/>
      <c r="BQ109" s="189"/>
      <c r="BR109" s="189"/>
      <c r="BS109" s="189"/>
      <c r="BT109" s="189"/>
      <c r="BU109" s="194"/>
      <c r="BV109" s="281"/>
      <c r="BW109" s="279"/>
      <c r="BX109" s="279"/>
      <c r="BY109" s="189"/>
      <c r="BZ109" s="189"/>
      <c r="CA109" s="189"/>
      <c r="CB109" s="189"/>
      <c r="CC109" s="194"/>
      <c r="CD109" s="281"/>
      <c r="CE109" s="279"/>
      <c r="CF109" s="279"/>
      <c r="CG109" s="189"/>
      <c r="CH109" s="189"/>
      <c r="CI109" s="189"/>
      <c r="CJ109" s="189"/>
      <c r="CK109" s="194"/>
      <c r="CL109" s="281"/>
      <c r="CM109" s="279"/>
      <c r="CN109" s="279"/>
      <c r="CO109" s="189"/>
      <c r="CP109" s="189"/>
      <c r="CQ109" s="189"/>
      <c r="CR109" s="189"/>
      <c r="CS109" s="194"/>
      <c r="CT109" s="281"/>
      <c r="CU109" s="279"/>
      <c r="CV109" s="279"/>
      <c r="CW109" s="189"/>
      <c r="CX109" s="189"/>
      <c r="CY109" s="189"/>
      <c r="CZ109" s="189"/>
      <c r="DA109" s="194"/>
      <c r="DB109" s="281"/>
      <c r="DC109" s="279"/>
      <c r="DD109" s="279"/>
      <c r="DE109" s="189"/>
      <c r="DF109" s="189"/>
      <c r="DG109" s="189"/>
      <c r="DH109" s="189"/>
      <c r="DI109" s="194"/>
      <c r="DJ109" s="281"/>
      <c r="DK109" s="279"/>
      <c r="DL109" s="279"/>
      <c r="DM109" s="189"/>
      <c r="DN109" s="189"/>
      <c r="DO109" s="189"/>
      <c r="DP109" s="189"/>
      <c r="DQ109" s="194"/>
      <c r="DR109" s="281"/>
      <c r="DS109" s="279"/>
      <c r="DT109" s="279"/>
      <c r="DU109" s="189"/>
      <c r="DV109" s="189"/>
      <c r="DW109" s="189"/>
      <c r="DX109" s="189"/>
      <c r="DY109" s="194"/>
      <c r="DZ109" s="281"/>
      <c r="EA109" s="279"/>
      <c r="EB109" s="279"/>
      <c r="EC109" s="189"/>
      <c r="ED109" s="189"/>
      <c r="EE109" s="189"/>
      <c r="EF109" s="189"/>
      <c r="EG109" s="194"/>
      <c r="EH109" s="281"/>
      <c r="EI109" s="279"/>
      <c r="EJ109" s="279"/>
      <c r="EK109" s="189"/>
      <c r="EL109" s="189"/>
      <c r="EM109" s="189"/>
      <c r="EN109" s="189"/>
      <c r="EO109" s="194"/>
      <c r="EP109" s="281"/>
      <c r="EQ109" s="279"/>
      <c r="ER109" s="279"/>
      <c r="ES109" s="189"/>
      <c r="ET109" s="189"/>
      <c r="EU109" s="189"/>
      <c r="EV109" s="189"/>
      <c r="EW109" s="194"/>
      <c r="EX109" s="281"/>
      <c r="EY109" s="279"/>
      <c r="EZ109" s="279"/>
      <c r="FA109" s="189"/>
      <c r="FB109" s="189"/>
      <c r="FC109" s="189"/>
      <c r="FD109" s="189"/>
      <c r="FE109" s="194"/>
      <c r="FF109" s="281"/>
      <c r="FG109" s="279"/>
      <c r="FH109" s="279"/>
      <c r="FI109" s="189"/>
      <c r="FJ109" s="189"/>
      <c r="FK109" s="189"/>
      <c r="FL109" s="189"/>
      <c r="FM109" s="194"/>
      <c r="FN109" s="281"/>
      <c r="FO109" s="279"/>
      <c r="FP109" s="279"/>
      <c r="FQ109" s="189"/>
      <c r="FR109" s="189"/>
      <c r="FS109" s="189"/>
      <c r="FT109" s="189"/>
      <c r="FU109" s="194"/>
      <c r="FV109" s="281"/>
      <c r="FW109" s="279"/>
      <c r="FX109" s="279"/>
      <c r="FY109" s="189"/>
      <c r="FZ109" s="189"/>
      <c r="GA109" s="189"/>
      <c r="GB109" s="189"/>
      <c r="GC109" s="194"/>
      <c r="GD109" s="281"/>
      <c r="GE109" s="279"/>
      <c r="GF109" s="279"/>
      <c r="GG109" s="189"/>
      <c r="GH109" s="189"/>
      <c r="GI109" s="189"/>
      <c r="GJ109" s="189"/>
      <c r="GK109" s="194"/>
      <c r="GL109" s="281"/>
      <c r="GM109" s="279"/>
      <c r="GN109" s="279"/>
      <c r="GO109" s="189"/>
      <c r="GP109" s="189"/>
      <c r="GQ109" s="189"/>
      <c r="GR109" s="189"/>
      <c r="GS109" s="194"/>
      <c r="GT109" s="281"/>
      <c r="GU109" s="279"/>
      <c r="GV109" s="279"/>
      <c r="GW109" s="189"/>
      <c r="GX109" s="189"/>
      <c r="GY109" s="189"/>
      <c r="GZ109" s="189"/>
      <c r="HA109" s="194"/>
      <c r="HB109" s="281"/>
      <c r="HC109" s="279"/>
      <c r="HD109" s="279"/>
      <c r="HE109" s="189"/>
      <c r="HF109" s="189"/>
      <c r="HG109" s="189"/>
      <c r="HH109" s="189"/>
      <c r="HI109" s="194"/>
      <c r="HJ109" s="281"/>
      <c r="HK109" s="279"/>
      <c r="HL109" s="279"/>
      <c r="HM109" s="189"/>
      <c r="HN109" s="189"/>
      <c r="HO109" s="189"/>
      <c r="HP109" s="189"/>
      <c r="HQ109" s="194"/>
      <c r="HR109" s="281"/>
      <c r="HS109" s="279"/>
      <c r="HT109" s="279"/>
      <c r="HU109" s="189"/>
      <c r="HV109" s="189"/>
      <c r="HW109" s="189"/>
      <c r="HX109" s="189"/>
      <c r="HY109" s="194"/>
      <c r="HZ109" s="281"/>
      <c r="IA109" s="279"/>
      <c r="IB109" s="279"/>
      <c r="IC109" s="189"/>
      <c r="ID109" s="189"/>
      <c r="IE109" s="189"/>
      <c r="IF109" s="189"/>
      <c r="IG109" s="194"/>
      <c r="IH109" s="281"/>
      <c r="II109" s="279"/>
      <c r="IJ109" s="279"/>
      <c r="IK109" s="189"/>
      <c r="IL109" s="189"/>
      <c r="IM109" s="189"/>
      <c r="IN109" s="189"/>
    </row>
    <row r="110" spans="1:248" s="188" customFormat="1" ht="12.75">
      <c r="A110" s="227"/>
      <c r="B110" s="47" t="s">
        <v>413</v>
      </c>
      <c r="C110" s="290"/>
      <c r="D110" s="289"/>
      <c r="E110" s="247"/>
      <c r="F110" s="247"/>
      <c r="G110" s="289">
        <f>SUM(G97:G109)</f>
        <v>3357</v>
      </c>
      <c r="H110" s="207">
        <f>SUM(H97:H109)</f>
        <v>67615.5225180821</v>
      </c>
      <c r="I110" s="212"/>
      <c r="J110" s="281"/>
      <c r="K110" s="279"/>
      <c r="L110" s="279"/>
      <c r="M110" s="189"/>
      <c r="N110" s="189"/>
      <c r="O110" s="189"/>
      <c r="P110" s="189"/>
      <c r="Q110" s="194"/>
      <c r="R110" s="281"/>
      <c r="S110" s="279"/>
      <c r="T110" s="279"/>
      <c r="U110" s="189"/>
      <c r="V110" s="189"/>
      <c r="W110" s="189"/>
      <c r="X110" s="189"/>
      <c r="Y110" s="194"/>
      <c r="Z110" s="281"/>
      <c r="AA110" s="279"/>
      <c r="AB110" s="279"/>
      <c r="AC110" s="189"/>
      <c r="AD110" s="189"/>
      <c r="AE110" s="189"/>
      <c r="AF110" s="189"/>
      <c r="AG110" s="194"/>
      <c r="AH110" s="281"/>
      <c r="AI110" s="279"/>
      <c r="AJ110" s="279"/>
      <c r="AK110" s="189"/>
      <c r="AL110" s="189"/>
      <c r="AM110" s="189"/>
      <c r="AN110" s="189"/>
      <c r="AO110" s="194"/>
      <c r="AP110" s="281"/>
      <c r="AQ110" s="279"/>
      <c r="AR110" s="279"/>
      <c r="AS110" s="189"/>
      <c r="AT110" s="189"/>
      <c r="AU110" s="189"/>
      <c r="AV110" s="189"/>
      <c r="AW110" s="194"/>
      <c r="AX110" s="281"/>
      <c r="AY110" s="279"/>
      <c r="AZ110" s="279"/>
      <c r="BA110" s="189"/>
      <c r="BB110" s="189"/>
      <c r="BC110" s="189"/>
      <c r="BD110" s="189"/>
      <c r="BE110" s="194"/>
      <c r="BF110" s="281"/>
      <c r="BG110" s="279"/>
      <c r="BH110" s="279"/>
      <c r="BI110" s="189"/>
      <c r="BJ110" s="189"/>
      <c r="BK110" s="189"/>
      <c r="BL110" s="189"/>
      <c r="BM110" s="194"/>
      <c r="BN110" s="281"/>
      <c r="BO110" s="279"/>
      <c r="BP110" s="279"/>
      <c r="BQ110" s="189"/>
      <c r="BR110" s="189"/>
      <c r="BS110" s="189"/>
      <c r="BT110" s="189"/>
      <c r="BU110" s="194"/>
      <c r="BV110" s="281"/>
      <c r="BW110" s="279"/>
      <c r="BX110" s="279"/>
      <c r="BY110" s="189"/>
      <c r="BZ110" s="189"/>
      <c r="CA110" s="189"/>
      <c r="CB110" s="189"/>
      <c r="CC110" s="194"/>
      <c r="CD110" s="281"/>
      <c r="CE110" s="279"/>
      <c r="CF110" s="279"/>
      <c r="CG110" s="189"/>
      <c r="CH110" s="189"/>
      <c r="CI110" s="189"/>
      <c r="CJ110" s="189"/>
      <c r="CK110" s="194"/>
      <c r="CL110" s="281"/>
      <c r="CM110" s="279"/>
      <c r="CN110" s="279"/>
      <c r="CO110" s="189"/>
      <c r="CP110" s="189"/>
      <c r="CQ110" s="189"/>
      <c r="CR110" s="189"/>
      <c r="CS110" s="194"/>
      <c r="CT110" s="281"/>
      <c r="CU110" s="279"/>
      <c r="CV110" s="279"/>
      <c r="CW110" s="189"/>
      <c r="CX110" s="189"/>
      <c r="CY110" s="189"/>
      <c r="CZ110" s="189"/>
      <c r="DA110" s="194"/>
      <c r="DB110" s="281"/>
      <c r="DC110" s="279"/>
      <c r="DD110" s="279"/>
      <c r="DE110" s="189"/>
      <c r="DF110" s="189"/>
      <c r="DG110" s="189"/>
      <c r="DH110" s="189"/>
      <c r="DI110" s="194"/>
      <c r="DJ110" s="281"/>
      <c r="DK110" s="279"/>
      <c r="DL110" s="279"/>
      <c r="DM110" s="189"/>
      <c r="DN110" s="189"/>
      <c r="DO110" s="189"/>
      <c r="DP110" s="189"/>
      <c r="DQ110" s="194"/>
      <c r="DR110" s="281"/>
      <c r="DS110" s="279"/>
      <c r="DT110" s="279"/>
      <c r="DU110" s="189"/>
      <c r="DV110" s="189"/>
      <c r="DW110" s="189"/>
      <c r="DX110" s="189"/>
      <c r="DY110" s="194"/>
      <c r="DZ110" s="281"/>
      <c r="EA110" s="279"/>
      <c r="EB110" s="279"/>
      <c r="EC110" s="189"/>
      <c r="ED110" s="189"/>
      <c r="EE110" s="189"/>
      <c r="EF110" s="189"/>
      <c r="EG110" s="194"/>
      <c r="EH110" s="281"/>
      <c r="EI110" s="279"/>
      <c r="EJ110" s="279"/>
      <c r="EK110" s="189"/>
      <c r="EL110" s="189"/>
      <c r="EM110" s="189"/>
      <c r="EN110" s="189"/>
      <c r="EO110" s="194"/>
      <c r="EP110" s="281"/>
      <c r="EQ110" s="279"/>
      <c r="ER110" s="279"/>
      <c r="ES110" s="189"/>
      <c r="ET110" s="189"/>
      <c r="EU110" s="189"/>
      <c r="EV110" s="189"/>
      <c r="EW110" s="194"/>
      <c r="EX110" s="281"/>
      <c r="EY110" s="279"/>
      <c r="EZ110" s="279"/>
      <c r="FA110" s="189"/>
      <c r="FB110" s="189"/>
      <c r="FC110" s="189"/>
      <c r="FD110" s="189"/>
      <c r="FE110" s="194"/>
      <c r="FF110" s="281"/>
      <c r="FG110" s="279"/>
      <c r="FH110" s="279"/>
      <c r="FI110" s="189"/>
      <c r="FJ110" s="189"/>
      <c r="FK110" s="189"/>
      <c r="FL110" s="189"/>
      <c r="FM110" s="194"/>
      <c r="FN110" s="281"/>
      <c r="FO110" s="279"/>
      <c r="FP110" s="279"/>
      <c r="FQ110" s="189"/>
      <c r="FR110" s="189"/>
      <c r="FS110" s="189"/>
      <c r="FT110" s="189"/>
      <c r="FU110" s="194"/>
      <c r="FV110" s="281"/>
      <c r="FW110" s="279"/>
      <c r="FX110" s="279"/>
      <c r="FY110" s="189"/>
      <c r="FZ110" s="189"/>
      <c r="GA110" s="189"/>
      <c r="GB110" s="189"/>
      <c r="GC110" s="194"/>
      <c r="GD110" s="281"/>
      <c r="GE110" s="279"/>
      <c r="GF110" s="279"/>
      <c r="GG110" s="189"/>
      <c r="GH110" s="189"/>
      <c r="GI110" s="189"/>
      <c r="GJ110" s="189"/>
      <c r="GK110" s="194"/>
      <c r="GL110" s="281"/>
      <c r="GM110" s="279"/>
      <c r="GN110" s="279"/>
      <c r="GO110" s="189"/>
      <c r="GP110" s="189"/>
      <c r="GQ110" s="189"/>
      <c r="GR110" s="189"/>
      <c r="GS110" s="194"/>
      <c r="GT110" s="281"/>
      <c r="GU110" s="279"/>
      <c r="GV110" s="279"/>
      <c r="GW110" s="189"/>
      <c r="GX110" s="189"/>
      <c r="GY110" s="189"/>
      <c r="GZ110" s="189"/>
      <c r="HA110" s="194"/>
      <c r="HB110" s="281"/>
      <c r="HC110" s="279"/>
      <c r="HD110" s="279"/>
      <c r="HE110" s="189"/>
      <c r="HF110" s="189"/>
      <c r="HG110" s="189"/>
      <c r="HH110" s="189"/>
      <c r="HI110" s="194"/>
      <c r="HJ110" s="281"/>
      <c r="HK110" s="279"/>
      <c r="HL110" s="279"/>
      <c r="HM110" s="189"/>
      <c r="HN110" s="189"/>
      <c r="HO110" s="189"/>
      <c r="HP110" s="189"/>
      <c r="HQ110" s="194"/>
      <c r="HR110" s="281"/>
      <c r="HS110" s="279"/>
      <c r="HT110" s="279"/>
      <c r="HU110" s="189"/>
      <c r="HV110" s="189"/>
      <c r="HW110" s="189"/>
      <c r="HX110" s="189"/>
      <c r="HY110" s="194"/>
      <c r="HZ110" s="281"/>
      <c r="IA110" s="279"/>
      <c r="IB110" s="279"/>
      <c r="IC110" s="189"/>
      <c r="ID110" s="189"/>
      <c r="IE110" s="189"/>
      <c r="IF110" s="189"/>
      <c r="IG110" s="194"/>
      <c r="IH110" s="281"/>
      <c r="II110" s="279"/>
      <c r="IJ110" s="279"/>
      <c r="IK110" s="189"/>
      <c r="IL110" s="189"/>
      <c r="IM110" s="189"/>
      <c r="IN110" s="189"/>
    </row>
    <row r="111" spans="1:248" s="188" customFormat="1" ht="12.75">
      <c r="A111" s="227"/>
      <c r="B111" s="93" t="s">
        <v>523</v>
      </c>
      <c r="C111" s="224"/>
      <c r="D111" s="210"/>
      <c r="E111" s="247"/>
      <c r="F111" s="247"/>
      <c r="G111" s="289">
        <f>G86+G95+G110</f>
        <v>39258.450119999994</v>
      </c>
      <c r="H111" s="288">
        <f>H86+H95+H110</f>
        <v>790730.0024169981</v>
      </c>
      <c r="I111" s="212"/>
      <c r="J111" s="281"/>
      <c r="K111" s="279"/>
      <c r="L111" s="279"/>
      <c r="M111" s="189"/>
      <c r="N111" s="189"/>
      <c r="O111" s="189"/>
      <c r="P111" s="189"/>
      <c r="Q111" s="194"/>
      <c r="R111" s="281"/>
      <c r="S111" s="279"/>
      <c r="T111" s="279"/>
      <c r="U111" s="189"/>
      <c r="V111" s="189"/>
      <c r="W111" s="189"/>
      <c r="X111" s="189"/>
      <c r="Y111" s="194"/>
      <c r="Z111" s="281"/>
      <c r="AA111" s="279"/>
      <c r="AB111" s="279"/>
      <c r="AC111" s="189"/>
      <c r="AD111" s="189"/>
      <c r="AE111" s="189"/>
      <c r="AF111" s="189"/>
      <c r="AG111" s="194"/>
      <c r="AH111" s="281"/>
      <c r="AI111" s="279"/>
      <c r="AJ111" s="279"/>
      <c r="AK111" s="189"/>
      <c r="AL111" s="189"/>
      <c r="AM111" s="189"/>
      <c r="AN111" s="189"/>
      <c r="AO111" s="194"/>
      <c r="AP111" s="281"/>
      <c r="AQ111" s="279"/>
      <c r="AR111" s="279"/>
      <c r="AS111" s="189"/>
      <c r="AT111" s="189"/>
      <c r="AU111" s="189"/>
      <c r="AV111" s="189"/>
      <c r="AW111" s="194"/>
      <c r="AX111" s="281"/>
      <c r="AY111" s="279"/>
      <c r="AZ111" s="279"/>
      <c r="BA111" s="189"/>
      <c r="BB111" s="189"/>
      <c r="BC111" s="189"/>
      <c r="BD111" s="189"/>
      <c r="BE111" s="194"/>
      <c r="BF111" s="281"/>
      <c r="BG111" s="279"/>
      <c r="BH111" s="279"/>
      <c r="BI111" s="189"/>
      <c r="BJ111" s="189"/>
      <c r="BK111" s="189"/>
      <c r="BL111" s="189"/>
      <c r="BM111" s="194"/>
      <c r="BN111" s="281"/>
      <c r="BO111" s="279"/>
      <c r="BP111" s="279"/>
      <c r="BQ111" s="189"/>
      <c r="BR111" s="189"/>
      <c r="BS111" s="189"/>
      <c r="BT111" s="189"/>
      <c r="BU111" s="194"/>
      <c r="BV111" s="281"/>
      <c r="BW111" s="279"/>
      <c r="BX111" s="279"/>
      <c r="BY111" s="189"/>
      <c r="BZ111" s="189"/>
      <c r="CA111" s="189"/>
      <c r="CB111" s="189"/>
      <c r="CC111" s="194"/>
      <c r="CD111" s="281"/>
      <c r="CE111" s="279"/>
      <c r="CF111" s="279"/>
      <c r="CG111" s="189"/>
      <c r="CH111" s="189"/>
      <c r="CI111" s="189"/>
      <c r="CJ111" s="189"/>
      <c r="CK111" s="194"/>
      <c r="CL111" s="281"/>
      <c r="CM111" s="279"/>
      <c r="CN111" s="279"/>
      <c r="CO111" s="189"/>
      <c r="CP111" s="189"/>
      <c r="CQ111" s="189"/>
      <c r="CR111" s="189"/>
      <c r="CS111" s="194"/>
      <c r="CT111" s="281"/>
      <c r="CU111" s="279"/>
      <c r="CV111" s="279"/>
      <c r="CW111" s="189"/>
      <c r="CX111" s="189"/>
      <c r="CY111" s="189"/>
      <c r="CZ111" s="189"/>
      <c r="DA111" s="194"/>
      <c r="DB111" s="281"/>
      <c r="DC111" s="279"/>
      <c r="DD111" s="279"/>
      <c r="DE111" s="189"/>
      <c r="DF111" s="189"/>
      <c r="DG111" s="189"/>
      <c r="DH111" s="189"/>
      <c r="DI111" s="194"/>
      <c r="DJ111" s="281"/>
      <c r="DK111" s="279"/>
      <c r="DL111" s="279"/>
      <c r="DM111" s="189"/>
      <c r="DN111" s="189"/>
      <c r="DO111" s="189"/>
      <c r="DP111" s="189"/>
      <c r="DQ111" s="194"/>
      <c r="DR111" s="281"/>
      <c r="DS111" s="279"/>
      <c r="DT111" s="279"/>
      <c r="DU111" s="189"/>
      <c r="DV111" s="189"/>
      <c r="DW111" s="189"/>
      <c r="DX111" s="189"/>
      <c r="DY111" s="194"/>
      <c r="DZ111" s="281"/>
      <c r="EA111" s="279"/>
      <c r="EB111" s="279"/>
      <c r="EC111" s="189"/>
      <c r="ED111" s="189"/>
      <c r="EE111" s="189"/>
      <c r="EF111" s="189"/>
      <c r="EG111" s="194"/>
      <c r="EH111" s="281"/>
      <c r="EI111" s="279"/>
      <c r="EJ111" s="279"/>
      <c r="EK111" s="189"/>
      <c r="EL111" s="189"/>
      <c r="EM111" s="189"/>
      <c r="EN111" s="189"/>
      <c r="EO111" s="194"/>
      <c r="EP111" s="281"/>
      <c r="EQ111" s="279"/>
      <c r="ER111" s="279"/>
      <c r="ES111" s="189"/>
      <c r="ET111" s="189"/>
      <c r="EU111" s="189"/>
      <c r="EV111" s="189"/>
      <c r="EW111" s="194"/>
      <c r="EX111" s="281"/>
      <c r="EY111" s="279"/>
      <c r="EZ111" s="279"/>
      <c r="FA111" s="189"/>
      <c r="FB111" s="189"/>
      <c r="FC111" s="189"/>
      <c r="FD111" s="189"/>
      <c r="FE111" s="194"/>
      <c r="FF111" s="281"/>
      <c r="FG111" s="279"/>
      <c r="FH111" s="279"/>
      <c r="FI111" s="189"/>
      <c r="FJ111" s="189"/>
      <c r="FK111" s="189"/>
      <c r="FL111" s="189"/>
      <c r="FM111" s="194"/>
      <c r="FN111" s="281"/>
      <c r="FO111" s="279"/>
      <c r="FP111" s="279"/>
      <c r="FQ111" s="189"/>
      <c r="FR111" s="189"/>
      <c r="FS111" s="189"/>
      <c r="FT111" s="189"/>
      <c r="FU111" s="194"/>
      <c r="FV111" s="281"/>
      <c r="FW111" s="279"/>
      <c r="FX111" s="279"/>
      <c r="FY111" s="189"/>
      <c r="FZ111" s="189"/>
      <c r="GA111" s="189"/>
      <c r="GB111" s="189"/>
      <c r="GC111" s="194"/>
      <c r="GD111" s="281"/>
      <c r="GE111" s="279"/>
      <c r="GF111" s="279"/>
      <c r="GG111" s="189"/>
      <c r="GH111" s="189"/>
      <c r="GI111" s="189"/>
      <c r="GJ111" s="189"/>
      <c r="GK111" s="194"/>
      <c r="GL111" s="281"/>
      <c r="GM111" s="279"/>
      <c r="GN111" s="279"/>
      <c r="GO111" s="189"/>
      <c r="GP111" s="189"/>
      <c r="GQ111" s="189"/>
      <c r="GR111" s="189"/>
      <c r="GS111" s="194"/>
      <c r="GT111" s="281"/>
      <c r="GU111" s="279"/>
      <c r="GV111" s="279"/>
      <c r="GW111" s="189"/>
      <c r="GX111" s="189"/>
      <c r="GY111" s="189"/>
      <c r="GZ111" s="189"/>
      <c r="HA111" s="194"/>
      <c r="HB111" s="281"/>
      <c r="HC111" s="279"/>
      <c r="HD111" s="279"/>
      <c r="HE111" s="189"/>
      <c r="HF111" s="189"/>
      <c r="HG111" s="189"/>
      <c r="HH111" s="189"/>
      <c r="HI111" s="194"/>
      <c r="HJ111" s="281"/>
      <c r="HK111" s="279"/>
      <c r="HL111" s="279"/>
      <c r="HM111" s="189"/>
      <c r="HN111" s="189"/>
      <c r="HO111" s="189"/>
      <c r="HP111" s="189"/>
      <c r="HQ111" s="194"/>
      <c r="HR111" s="281"/>
      <c r="HS111" s="279"/>
      <c r="HT111" s="279"/>
      <c r="HU111" s="189"/>
      <c r="HV111" s="189"/>
      <c r="HW111" s="189"/>
      <c r="HX111" s="189"/>
      <c r="HY111" s="194"/>
      <c r="HZ111" s="281"/>
      <c r="IA111" s="279"/>
      <c r="IB111" s="279"/>
      <c r="IC111" s="189"/>
      <c r="ID111" s="189"/>
      <c r="IE111" s="189"/>
      <c r="IF111" s="189"/>
      <c r="IG111" s="194"/>
      <c r="IH111" s="281"/>
      <c r="II111" s="279"/>
      <c r="IJ111" s="279"/>
      <c r="IK111" s="189"/>
      <c r="IL111" s="189"/>
      <c r="IM111" s="189"/>
      <c r="IN111" s="189"/>
    </row>
    <row r="112" spans="1:248" s="188" customFormat="1" ht="12.75">
      <c r="A112" s="227">
        <v>23</v>
      </c>
      <c r="B112" s="47" t="s">
        <v>241</v>
      </c>
      <c r="C112" s="212"/>
      <c r="D112" s="212"/>
      <c r="E112" s="215"/>
      <c r="F112" s="215"/>
      <c r="G112" s="287">
        <f>G113+G114+G115+G116+G117+G118+G119+G120+G121</f>
        <v>239</v>
      </c>
      <c r="H112" s="286">
        <f>H113+H114+H115+H116+H117+H118+H119+H120+H121</f>
        <v>6426</v>
      </c>
      <c r="I112" s="227"/>
      <c r="J112" s="281"/>
      <c r="K112" s="279"/>
      <c r="L112" s="279"/>
      <c r="M112" s="189"/>
      <c r="N112" s="189"/>
      <c r="O112" s="190"/>
      <c r="P112" s="189"/>
      <c r="Q112" s="194"/>
      <c r="R112" s="281"/>
      <c r="S112" s="279"/>
      <c r="T112" s="279"/>
      <c r="U112" s="189"/>
      <c r="V112" s="189"/>
      <c r="W112" s="190"/>
      <c r="X112" s="189"/>
      <c r="Y112" s="194"/>
      <c r="Z112" s="281"/>
      <c r="AA112" s="279"/>
      <c r="AB112" s="279"/>
      <c r="AC112" s="189"/>
      <c r="AD112" s="189"/>
      <c r="AE112" s="190"/>
      <c r="AF112" s="189"/>
      <c r="AG112" s="194"/>
      <c r="AH112" s="281"/>
      <c r="AI112" s="279"/>
      <c r="AJ112" s="279"/>
      <c r="AK112" s="189"/>
      <c r="AL112" s="189"/>
      <c r="AM112" s="190"/>
      <c r="AN112" s="189"/>
      <c r="AO112" s="194"/>
      <c r="AP112" s="281"/>
      <c r="AQ112" s="279"/>
      <c r="AR112" s="279"/>
      <c r="AS112" s="189"/>
      <c r="AT112" s="189"/>
      <c r="AU112" s="190"/>
      <c r="AV112" s="189"/>
      <c r="AW112" s="194"/>
      <c r="AX112" s="281"/>
      <c r="AY112" s="279"/>
      <c r="AZ112" s="279"/>
      <c r="BA112" s="189"/>
      <c r="BB112" s="189"/>
      <c r="BC112" s="190"/>
      <c r="BD112" s="189"/>
      <c r="BE112" s="194"/>
      <c r="BF112" s="281"/>
      <c r="BG112" s="279"/>
      <c r="BH112" s="279"/>
      <c r="BI112" s="189"/>
      <c r="BJ112" s="189"/>
      <c r="BK112" s="190"/>
      <c r="BL112" s="189"/>
      <c r="BM112" s="194"/>
      <c r="BN112" s="281"/>
      <c r="BO112" s="279"/>
      <c r="BP112" s="279"/>
      <c r="BQ112" s="189"/>
      <c r="BR112" s="189"/>
      <c r="BS112" s="190"/>
      <c r="BT112" s="189"/>
      <c r="BU112" s="194"/>
      <c r="BV112" s="281"/>
      <c r="BW112" s="279"/>
      <c r="BX112" s="279"/>
      <c r="BY112" s="189"/>
      <c r="BZ112" s="189"/>
      <c r="CA112" s="190"/>
      <c r="CB112" s="189"/>
      <c r="CC112" s="194"/>
      <c r="CD112" s="281"/>
      <c r="CE112" s="279"/>
      <c r="CF112" s="279"/>
      <c r="CG112" s="189"/>
      <c r="CH112" s="189"/>
      <c r="CI112" s="190"/>
      <c r="CJ112" s="189"/>
      <c r="CK112" s="194"/>
      <c r="CL112" s="281"/>
      <c r="CM112" s="279"/>
      <c r="CN112" s="279"/>
      <c r="CO112" s="189"/>
      <c r="CP112" s="189"/>
      <c r="CQ112" s="190"/>
      <c r="CR112" s="189"/>
      <c r="CS112" s="194"/>
      <c r="CT112" s="281"/>
      <c r="CU112" s="279"/>
      <c r="CV112" s="279"/>
      <c r="CW112" s="189"/>
      <c r="CX112" s="189"/>
      <c r="CY112" s="190"/>
      <c r="CZ112" s="189"/>
      <c r="DA112" s="194"/>
      <c r="DB112" s="281"/>
      <c r="DC112" s="279"/>
      <c r="DD112" s="279"/>
      <c r="DE112" s="189"/>
      <c r="DF112" s="189"/>
      <c r="DG112" s="190"/>
      <c r="DH112" s="189"/>
      <c r="DI112" s="194"/>
      <c r="DJ112" s="281"/>
      <c r="DK112" s="279"/>
      <c r="DL112" s="279"/>
      <c r="DM112" s="189"/>
      <c r="DN112" s="189"/>
      <c r="DO112" s="190"/>
      <c r="DP112" s="189"/>
      <c r="DQ112" s="194"/>
      <c r="DR112" s="281"/>
      <c r="DS112" s="279"/>
      <c r="DT112" s="279"/>
      <c r="DU112" s="189"/>
      <c r="DV112" s="189"/>
      <c r="DW112" s="190"/>
      <c r="DX112" s="189"/>
      <c r="DY112" s="194"/>
      <c r="DZ112" s="281"/>
      <c r="EA112" s="279"/>
      <c r="EB112" s="279"/>
      <c r="EC112" s="189"/>
      <c r="ED112" s="189"/>
      <c r="EE112" s="190"/>
      <c r="EF112" s="189"/>
      <c r="EG112" s="194"/>
      <c r="EH112" s="281"/>
      <c r="EI112" s="279"/>
      <c r="EJ112" s="279"/>
      <c r="EK112" s="189"/>
      <c r="EL112" s="189"/>
      <c r="EM112" s="190"/>
      <c r="EN112" s="189"/>
      <c r="EO112" s="194"/>
      <c r="EP112" s="281"/>
      <c r="EQ112" s="279"/>
      <c r="ER112" s="279"/>
      <c r="ES112" s="189"/>
      <c r="ET112" s="189"/>
      <c r="EU112" s="190"/>
      <c r="EV112" s="189"/>
      <c r="EW112" s="194"/>
      <c r="EX112" s="281"/>
      <c r="EY112" s="279"/>
      <c r="EZ112" s="279"/>
      <c r="FA112" s="189"/>
      <c r="FB112" s="189"/>
      <c r="FC112" s="190"/>
      <c r="FD112" s="189"/>
      <c r="FE112" s="194"/>
      <c r="FF112" s="281"/>
      <c r="FG112" s="279"/>
      <c r="FH112" s="279"/>
      <c r="FI112" s="189"/>
      <c r="FJ112" s="189"/>
      <c r="FK112" s="190"/>
      <c r="FL112" s="189"/>
      <c r="FM112" s="194"/>
      <c r="FN112" s="281"/>
      <c r="FO112" s="279"/>
      <c r="FP112" s="279"/>
      <c r="FQ112" s="189"/>
      <c r="FR112" s="189"/>
      <c r="FS112" s="190"/>
      <c r="FT112" s="189"/>
      <c r="FU112" s="194"/>
      <c r="FV112" s="281"/>
      <c r="FW112" s="279"/>
      <c r="FX112" s="279"/>
      <c r="FY112" s="189"/>
      <c r="FZ112" s="189"/>
      <c r="GA112" s="190"/>
      <c r="GB112" s="189"/>
      <c r="GC112" s="194"/>
      <c r="GD112" s="281"/>
      <c r="GE112" s="279"/>
      <c r="GF112" s="279"/>
      <c r="GG112" s="189"/>
      <c r="GH112" s="189"/>
      <c r="GI112" s="190"/>
      <c r="GJ112" s="189"/>
      <c r="GK112" s="194"/>
      <c r="GL112" s="281"/>
      <c r="GM112" s="279"/>
      <c r="GN112" s="279"/>
      <c r="GO112" s="189"/>
      <c r="GP112" s="189"/>
      <c r="GQ112" s="190"/>
      <c r="GR112" s="189"/>
      <c r="GS112" s="194"/>
      <c r="GT112" s="281"/>
      <c r="GU112" s="279"/>
      <c r="GV112" s="279"/>
      <c r="GW112" s="189"/>
      <c r="GX112" s="189"/>
      <c r="GY112" s="190"/>
      <c r="GZ112" s="189"/>
      <c r="HA112" s="194"/>
      <c r="HB112" s="281"/>
      <c r="HC112" s="279"/>
      <c r="HD112" s="279"/>
      <c r="HE112" s="189"/>
      <c r="HF112" s="189"/>
      <c r="HG112" s="190"/>
      <c r="HH112" s="189"/>
      <c r="HI112" s="194"/>
      <c r="HJ112" s="281"/>
      <c r="HK112" s="279"/>
      <c r="HL112" s="279"/>
      <c r="HM112" s="189"/>
      <c r="HN112" s="189"/>
      <c r="HO112" s="190"/>
      <c r="HP112" s="189"/>
      <c r="HQ112" s="194"/>
      <c r="HR112" s="281"/>
      <c r="HS112" s="279"/>
      <c r="HT112" s="279"/>
      <c r="HU112" s="189"/>
      <c r="HV112" s="189"/>
      <c r="HW112" s="190"/>
      <c r="HX112" s="189"/>
      <c r="HY112" s="194"/>
      <c r="HZ112" s="281"/>
      <c r="IA112" s="279"/>
      <c r="IB112" s="279"/>
      <c r="IC112" s="189"/>
      <c r="ID112" s="189"/>
      <c r="IE112" s="190"/>
      <c r="IF112" s="189"/>
      <c r="IG112" s="194"/>
      <c r="IH112" s="281"/>
      <c r="II112" s="279"/>
      <c r="IJ112" s="279"/>
      <c r="IK112" s="189"/>
      <c r="IL112" s="189"/>
      <c r="IM112" s="190"/>
      <c r="IN112" s="189"/>
    </row>
    <row r="113" spans="1:248" s="188" customFormat="1" ht="12.75">
      <c r="A113" s="227"/>
      <c r="B113" s="51" t="s">
        <v>226</v>
      </c>
      <c r="C113" s="215" t="s">
        <v>73</v>
      </c>
      <c r="D113" s="215">
        <f>68.75</f>
        <v>68.75</v>
      </c>
      <c r="E113" s="215"/>
      <c r="F113" s="215"/>
      <c r="G113" s="260"/>
      <c r="H113" s="260"/>
      <c r="I113" s="215" t="s">
        <v>467</v>
      </c>
      <c r="J113" s="281"/>
      <c r="K113" s="279"/>
      <c r="L113" s="279"/>
      <c r="M113" s="189"/>
      <c r="N113" s="189"/>
      <c r="O113" s="190"/>
      <c r="P113" s="189"/>
      <c r="Q113" s="194"/>
      <c r="R113" s="281"/>
      <c r="S113" s="279"/>
      <c r="T113" s="279"/>
      <c r="U113" s="189"/>
      <c r="V113" s="189"/>
      <c r="W113" s="190"/>
      <c r="X113" s="189"/>
      <c r="Y113" s="194"/>
      <c r="Z113" s="281"/>
      <c r="AA113" s="279"/>
      <c r="AB113" s="279"/>
      <c r="AC113" s="189"/>
      <c r="AD113" s="189"/>
      <c r="AE113" s="190"/>
      <c r="AF113" s="189"/>
      <c r="AG113" s="194"/>
      <c r="AH113" s="281"/>
      <c r="AI113" s="279"/>
      <c r="AJ113" s="279"/>
      <c r="AK113" s="189"/>
      <c r="AL113" s="189"/>
      <c r="AM113" s="190"/>
      <c r="AN113" s="189"/>
      <c r="AO113" s="194"/>
      <c r="AP113" s="281"/>
      <c r="AQ113" s="279"/>
      <c r="AR113" s="279"/>
      <c r="AS113" s="189"/>
      <c r="AT113" s="189"/>
      <c r="AU113" s="190"/>
      <c r="AV113" s="189"/>
      <c r="AW113" s="194"/>
      <c r="AX113" s="281"/>
      <c r="AY113" s="279"/>
      <c r="AZ113" s="279"/>
      <c r="BA113" s="189"/>
      <c r="BB113" s="189"/>
      <c r="BC113" s="190"/>
      <c r="BD113" s="189"/>
      <c r="BE113" s="194"/>
      <c r="BF113" s="281"/>
      <c r="BG113" s="279"/>
      <c r="BH113" s="279"/>
      <c r="BI113" s="189"/>
      <c r="BJ113" s="189"/>
      <c r="BK113" s="190"/>
      <c r="BL113" s="189"/>
      <c r="BM113" s="194"/>
      <c r="BN113" s="281"/>
      <c r="BO113" s="279"/>
      <c r="BP113" s="279"/>
      <c r="BQ113" s="189"/>
      <c r="BR113" s="189"/>
      <c r="BS113" s="190"/>
      <c r="BT113" s="189"/>
      <c r="BU113" s="194"/>
      <c r="BV113" s="281"/>
      <c r="BW113" s="279"/>
      <c r="BX113" s="279"/>
      <c r="BY113" s="189"/>
      <c r="BZ113" s="189"/>
      <c r="CA113" s="190"/>
      <c r="CB113" s="189"/>
      <c r="CC113" s="194"/>
      <c r="CD113" s="281"/>
      <c r="CE113" s="279"/>
      <c r="CF113" s="279"/>
      <c r="CG113" s="189"/>
      <c r="CH113" s="189"/>
      <c r="CI113" s="190"/>
      <c r="CJ113" s="189"/>
      <c r="CK113" s="194"/>
      <c r="CL113" s="281"/>
      <c r="CM113" s="279"/>
      <c r="CN113" s="279"/>
      <c r="CO113" s="189"/>
      <c r="CP113" s="189"/>
      <c r="CQ113" s="190"/>
      <c r="CR113" s="189"/>
      <c r="CS113" s="194"/>
      <c r="CT113" s="281"/>
      <c r="CU113" s="279"/>
      <c r="CV113" s="279"/>
      <c r="CW113" s="189"/>
      <c r="CX113" s="189"/>
      <c r="CY113" s="190"/>
      <c r="CZ113" s="189"/>
      <c r="DA113" s="194"/>
      <c r="DB113" s="281"/>
      <c r="DC113" s="279"/>
      <c r="DD113" s="279"/>
      <c r="DE113" s="189"/>
      <c r="DF113" s="189"/>
      <c r="DG113" s="190"/>
      <c r="DH113" s="189"/>
      <c r="DI113" s="194"/>
      <c r="DJ113" s="281"/>
      <c r="DK113" s="279"/>
      <c r="DL113" s="279"/>
      <c r="DM113" s="189"/>
      <c r="DN113" s="189"/>
      <c r="DO113" s="190"/>
      <c r="DP113" s="189"/>
      <c r="DQ113" s="194"/>
      <c r="DR113" s="281"/>
      <c r="DS113" s="279"/>
      <c r="DT113" s="279"/>
      <c r="DU113" s="189"/>
      <c r="DV113" s="189"/>
      <c r="DW113" s="190"/>
      <c r="DX113" s="189"/>
      <c r="DY113" s="194"/>
      <c r="DZ113" s="281"/>
      <c r="EA113" s="279"/>
      <c r="EB113" s="279"/>
      <c r="EC113" s="189"/>
      <c r="ED113" s="189"/>
      <c r="EE113" s="190"/>
      <c r="EF113" s="189"/>
      <c r="EG113" s="194"/>
      <c r="EH113" s="281"/>
      <c r="EI113" s="279"/>
      <c r="EJ113" s="279"/>
      <c r="EK113" s="189"/>
      <c r="EL113" s="189"/>
      <c r="EM113" s="190"/>
      <c r="EN113" s="189"/>
      <c r="EO113" s="194"/>
      <c r="EP113" s="281"/>
      <c r="EQ113" s="279"/>
      <c r="ER113" s="279"/>
      <c r="ES113" s="189"/>
      <c r="ET113" s="189"/>
      <c r="EU113" s="190"/>
      <c r="EV113" s="189"/>
      <c r="EW113" s="194"/>
      <c r="EX113" s="281"/>
      <c r="EY113" s="279"/>
      <c r="EZ113" s="279"/>
      <c r="FA113" s="189"/>
      <c r="FB113" s="189"/>
      <c r="FC113" s="190"/>
      <c r="FD113" s="189"/>
      <c r="FE113" s="194"/>
      <c r="FF113" s="281"/>
      <c r="FG113" s="279"/>
      <c r="FH113" s="279"/>
      <c r="FI113" s="189"/>
      <c r="FJ113" s="189"/>
      <c r="FK113" s="190"/>
      <c r="FL113" s="189"/>
      <c r="FM113" s="194"/>
      <c r="FN113" s="281"/>
      <c r="FO113" s="279"/>
      <c r="FP113" s="279"/>
      <c r="FQ113" s="189"/>
      <c r="FR113" s="189"/>
      <c r="FS113" s="190"/>
      <c r="FT113" s="189"/>
      <c r="FU113" s="194"/>
      <c r="FV113" s="281"/>
      <c r="FW113" s="279"/>
      <c r="FX113" s="279"/>
      <c r="FY113" s="189"/>
      <c r="FZ113" s="189"/>
      <c r="GA113" s="190"/>
      <c r="GB113" s="189"/>
      <c r="GC113" s="194"/>
      <c r="GD113" s="281"/>
      <c r="GE113" s="279"/>
      <c r="GF113" s="279"/>
      <c r="GG113" s="189"/>
      <c r="GH113" s="189"/>
      <c r="GI113" s="190"/>
      <c r="GJ113" s="189"/>
      <c r="GK113" s="194"/>
      <c r="GL113" s="281"/>
      <c r="GM113" s="279"/>
      <c r="GN113" s="279"/>
      <c r="GO113" s="189"/>
      <c r="GP113" s="189"/>
      <c r="GQ113" s="190"/>
      <c r="GR113" s="189"/>
      <c r="GS113" s="194"/>
      <c r="GT113" s="281"/>
      <c r="GU113" s="279"/>
      <c r="GV113" s="279"/>
      <c r="GW113" s="189"/>
      <c r="GX113" s="189"/>
      <c r="GY113" s="190"/>
      <c r="GZ113" s="189"/>
      <c r="HA113" s="194"/>
      <c r="HB113" s="281"/>
      <c r="HC113" s="279"/>
      <c r="HD113" s="279"/>
      <c r="HE113" s="189"/>
      <c r="HF113" s="189"/>
      <c r="HG113" s="190"/>
      <c r="HH113" s="189"/>
      <c r="HI113" s="194"/>
      <c r="HJ113" s="281"/>
      <c r="HK113" s="279"/>
      <c r="HL113" s="279"/>
      <c r="HM113" s="189"/>
      <c r="HN113" s="189"/>
      <c r="HO113" s="190"/>
      <c r="HP113" s="189"/>
      <c r="HQ113" s="194"/>
      <c r="HR113" s="281"/>
      <c r="HS113" s="279"/>
      <c r="HT113" s="279"/>
      <c r="HU113" s="189"/>
      <c r="HV113" s="189"/>
      <c r="HW113" s="190"/>
      <c r="HX113" s="189"/>
      <c r="HY113" s="194"/>
      <c r="HZ113" s="281"/>
      <c r="IA113" s="279"/>
      <c r="IB113" s="279"/>
      <c r="IC113" s="189"/>
      <c r="ID113" s="189"/>
      <c r="IE113" s="190"/>
      <c r="IF113" s="189"/>
      <c r="IG113" s="194"/>
      <c r="IH113" s="281"/>
      <c r="II113" s="279"/>
      <c r="IJ113" s="279"/>
      <c r="IK113" s="189"/>
      <c r="IL113" s="189"/>
      <c r="IM113" s="190"/>
      <c r="IN113" s="189"/>
    </row>
    <row r="114" spans="1:248" s="188" customFormat="1" ht="12.75">
      <c r="A114" s="227"/>
      <c r="B114" s="51" t="s">
        <v>232</v>
      </c>
      <c r="C114" s="212" t="s">
        <v>80</v>
      </c>
      <c r="D114" s="212">
        <v>60</v>
      </c>
      <c r="E114" s="215"/>
      <c r="F114" s="215"/>
      <c r="G114" s="280"/>
      <c r="H114" s="280"/>
      <c r="I114" s="215" t="s">
        <v>468</v>
      </c>
      <c r="J114" s="281"/>
      <c r="K114" s="279"/>
      <c r="L114" s="279"/>
      <c r="M114" s="189"/>
      <c r="N114" s="189"/>
      <c r="O114" s="190"/>
      <c r="P114" s="189"/>
      <c r="Q114" s="194"/>
      <c r="R114" s="281"/>
      <c r="S114" s="279"/>
      <c r="T114" s="279"/>
      <c r="U114" s="189"/>
      <c r="V114" s="189"/>
      <c r="W114" s="190"/>
      <c r="X114" s="189"/>
      <c r="Y114" s="194"/>
      <c r="Z114" s="281"/>
      <c r="AA114" s="279"/>
      <c r="AB114" s="279"/>
      <c r="AC114" s="189"/>
      <c r="AD114" s="189"/>
      <c r="AE114" s="190"/>
      <c r="AF114" s="189"/>
      <c r="AG114" s="194"/>
      <c r="AH114" s="281"/>
      <c r="AI114" s="279"/>
      <c r="AJ114" s="279"/>
      <c r="AK114" s="189"/>
      <c r="AL114" s="189"/>
      <c r="AM114" s="190"/>
      <c r="AN114" s="189"/>
      <c r="AO114" s="194"/>
      <c r="AP114" s="281"/>
      <c r="AQ114" s="279"/>
      <c r="AR114" s="279"/>
      <c r="AS114" s="189"/>
      <c r="AT114" s="189"/>
      <c r="AU114" s="190"/>
      <c r="AV114" s="189"/>
      <c r="AW114" s="194"/>
      <c r="AX114" s="281"/>
      <c r="AY114" s="279"/>
      <c r="AZ114" s="279"/>
      <c r="BA114" s="189"/>
      <c r="BB114" s="189"/>
      <c r="BC114" s="190"/>
      <c r="BD114" s="189"/>
      <c r="BE114" s="194"/>
      <c r="BF114" s="281"/>
      <c r="BG114" s="279"/>
      <c r="BH114" s="279"/>
      <c r="BI114" s="189"/>
      <c r="BJ114" s="189"/>
      <c r="BK114" s="190"/>
      <c r="BL114" s="189"/>
      <c r="BM114" s="194"/>
      <c r="BN114" s="281"/>
      <c r="BO114" s="279"/>
      <c r="BP114" s="279"/>
      <c r="BQ114" s="189"/>
      <c r="BR114" s="189"/>
      <c r="BS114" s="190"/>
      <c r="BT114" s="189"/>
      <c r="BU114" s="194"/>
      <c r="BV114" s="281"/>
      <c r="BW114" s="279"/>
      <c r="BX114" s="279"/>
      <c r="BY114" s="189"/>
      <c r="BZ114" s="189"/>
      <c r="CA114" s="190"/>
      <c r="CB114" s="189"/>
      <c r="CC114" s="194"/>
      <c r="CD114" s="281"/>
      <c r="CE114" s="279"/>
      <c r="CF114" s="279"/>
      <c r="CG114" s="189"/>
      <c r="CH114" s="189"/>
      <c r="CI114" s="190"/>
      <c r="CJ114" s="189"/>
      <c r="CK114" s="194"/>
      <c r="CL114" s="281"/>
      <c r="CM114" s="279"/>
      <c r="CN114" s="279"/>
      <c r="CO114" s="189"/>
      <c r="CP114" s="189"/>
      <c r="CQ114" s="190"/>
      <c r="CR114" s="189"/>
      <c r="CS114" s="194"/>
      <c r="CT114" s="281"/>
      <c r="CU114" s="279"/>
      <c r="CV114" s="279"/>
      <c r="CW114" s="189"/>
      <c r="CX114" s="189"/>
      <c r="CY114" s="190"/>
      <c r="CZ114" s="189"/>
      <c r="DA114" s="194"/>
      <c r="DB114" s="281"/>
      <c r="DC114" s="279"/>
      <c r="DD114" s="279"/>
      <c r="DE114" s="189"/>
      <c r="DF114" s="189"/>
      <c r="DG114" s="190"/>
      <c r="DH114" s="189"/>
      <c r="DI114" s="194"/>
      <c r="DJ114" s="281"/>
      <c r="DK114" s="279"/>
      <c r="DL114" s="279"/>
      <c r="DM114" s="189"/>
      <c r="DN114" s="189"/>
      <c r="DO114" s="190"/>
      <c r="DP114" s="189"/>
      <c r="DQ114" s="194"/>
      <c r="DR114" s="281"/>
      <c r="DS114" s="279"/>
      <c r="DT114" s="279"/>
      <c r="DU114" s="189"/>
      <c r="DV114" s="189"/>
      <c r="DW114" s="190"/>
      <c r="DX114" s="189"/>
      <c r="DY114" s="194"/>
      <c r="DZ114" s="281"/>
      <c r="EA114" s="279"/>
      <c r="EB114" s="279"/>
      <c r="EC114" s="189"/>
      <c r="ED114" s="189"/>
      <c r="EE114" s="190"/>
      <c r="EF114" s="189"/>
      <c r="EG114" s="194"/>
      <c r="EH114" s="281"/>
      <c r="EI114" s="279"/>
      <c r="EJ114" s="279"/>
      <c r="EK114" s="189"/>
      <c r="EL114" s="189"/>
      <c r="EM114" s="190"/>
      <c r="EN114" s="189"/>
      <c r="EO114" s="194"/>
      <c r="EP114" s="281"/>
      <c r="EQ114" s="279"/>
      <c r="ER114" s="279"/>
      <c r="ES114" s="189"/>
      <c r="ET114" s="189"/>
      <c r="EU114" s="190"/>
      <c r="EV114" s="189"/>
      <c r="EW114" s="194"/>
      <c r="EX114" s="281"/>
      <c r="EY114" s="279"/>
      <c r="EZ114" s="279"/>
      <c r="FA114" s="189"/>
      <c r="FB114" s="189"/>
      <c r="FC114" s="190"/>
      <c r="FD114" s="189"/>
      <c r="FE114" s="194"/>
      <c r="FF114" s="281"/>
      <c r="FG114" s="279"/>
      <c r="FH114" s="279"/>
      <c r="FI114" s="189"/>
      <c r="FJ114" s="189"/>
      <c r="FK114" s="190"/>
      <c r="FL114" s="189"/>
      <c r="FM114" s="194"/>
      <c r="FN114" s="281"/>
      <c r="FO114" s="279"/>
      <c r="FP114" s="279"/>
      <c r="FQ114" s="189"/>
      <c r="FR114" s="189"/>
      <c r="FS114" s="190"/>
      <c r="FT114" s="189"/>
      <c r="FU114" s="194"/>
      <c r="FV114" s="281"/>
      <c r="FW114" s="279"/>
      <c r="FX114" s="279"/>
      <c r="FY114" s="189"/>
      <c r="FZ114" s="189"/>
      <c r="GA114" s="190"/>
      <c r="GB114" s="189"/>
      <c r="GC114" s="194"/>
      <c r="GD114" s="281"/>
      <c r="GE114" s="279"/>
      <c r="GF114" s="279"/>
      <c r="GG114" s="189"/>
      <c r="GH114" s="189"/>
      <c r="GI114" s="190"/>
      <c r="GJ114" s="189"/>
      <c r="GK114" s="194"/>
      <c r="GL114" s="281"/>
      <c r="GM114" s="279"/>
      <c r="GN114" s="279"/>
      <c r="GO114" s="189"/>
      <c r="GP114" s="189"/>
      <c r="GQ114" s="190"/>
      <c r="GR114" s="189"/>
      <c r="GS114" s="194"/>
      <c r="GT114" s="281"/>
      <c r="GU114" s="279"/>
      <c r="GV114" s="279"/>
      <c r="GW114" s="189"/>
      <c r="GX114" s="189"/>
      <c r="GY114" s="190"/>
      <c r="GZ114" s="189"/>
      <c r="HA114" s="194"/>
      <c r="HB114" s="281"/>
      <c r="HC114" s="279"/>
      <c r="HD114" s="279"/>
      <c r="HE114" s="189"/>
      <c r="HF114" s="189"/>
      <c r="HG114" s="190"/>
      <c r="HH114" s="189"/>
      <c r="HI114" s="194"/>
      <c r="HJ114" s="281"/>
      <c r="HK114" s="279"/>
      <c r="HL114" s="279"/>
      <c r="HM114" s="189"/>
      <c r="HN114" s="189"/>
      <c r="HO114" s="190"/>
      <c r="HP114" s="189"/>
      <c r="HQ114" s="194"/>
      <c r="HR114" s="281"/>
      <c r="HS114" s="279"/>
      <c r="HT114" s="279"/>
      <c r="HU114" s="189"/>
      <c r="HV114" s="189"/>
      <c r="HW114" s="190"/>
      <c r="HX114" s="189"/>
      <c r="HY114" s="194"/>
      <c r="HZ114" s="281"/>
      <c r="IA114" s="279"/>
      <c r="IB114" s="279"/>
      <c r="IC114" s="189"/>
      <c r="ID114" s="189"/>
      <c r="IE114" s="190"/>
      <c r="IF114" s="189"/>
      <c r="IG114" s="194"/>
      <c r="IH114" s="281"/>
      <c r="II114" s="279"/>
      <c r="IJ114" s="279"/>
      <c r="IK114" s="189"/>
      <c r="IL114" s="189"/>
      <c r="IM114" s="190"/>
      <c r="IN114" s="189"/>
    </row>
    <row r="115" spans="1:248" s="188" customFormat="1" ht="12.75">
      <c r="A115" s="227"/>
      <c r="B115" s="51" t="s">
        <v>233</v>
      </c>
      <c r="C115" s="212" t="s">
        <v>53</v>
      </c>
      <c r="D115" s="212">
        <v>1.27</v>
      </c>
      <c r="E115" s="215"/>
      <c r="F115" s="215"/>
      <c r="G115" s="280"/>
      <c r="H115" s="280"/>
      <c r="I115" s="215" t="s">
        <v>469</v>
      </c>
      <c r="J115" s="281"/>
      <c r="K115" s="279"/>
      <c r="L115" s="279"/>
      <c r="M115" s="189"/>
      <c r="N115" s="189"/>
      <c r="O115" s="190"/>
      <c r="P115" s="189"/>
      <c r="Q115" s="194"/>
      <c r="R115" s="281"/>
      <c r="S115" s="279"/>
      <c r="T115" s="279"/>
      <c r="U115" s="189"/>
      <c r="V115" s="189"/>
      <c r="W115" s="190"/>
      <c r="X115" s="189"/>
      <c r="Y115" s="194"/>
      <c r="Z115" s="281"/>
      <c r="AA115" s="279"/>
      <c r="AB115" s="279"/>
      <c r="AC115" s="189"/>
      <c r="AD115" s="189"/>
      <c r="AE115" s="190"/>
      <c r="AF115" s="189"/>
      <c r="AG115" s="194"/>
      <c r="AH115" s="281"/>
      <c r="AI115" s="279"/>
      <c r="AJ115" s="279"/>
      <c r="AK115" s="189"/>
      <c r="AL115" s="189"/>
      <c r="AM115" s="190"/>
      <c r="AN115" s="189"/>
      <c r="AO115" s="194"/>
      <c r="AP115" s="281"/>
      <c r="AQ115" s="279"/>
      <c r="AR115" s="279"/>
      <c r="AS115" s="189"/>
      <c r="AT115" s="189"/>
      <c r="AU115" s="190"/>
      <c r="AV115" s="189"/>
      <c r="AW115" s="194"/>
      <c r="AX115" s="281"/>
      <c r="AY115" s="279"/>
      <c r="AZ115" s="279"/>
      <c r="BA115" s="189"/>
      <c r="BB115" s="189"/>
      <c r="BC115" s="190"/>
      <c r="BD115" s="189"/>
      <c r="BE115" s="194"/>
      <c r="BF115" s="281"/>
      <c r="BG115" s="279"/>
      <c r="BH115" s="279"/>
      <c r="BI115" s="189"/>
      <c r="BJ115" s="189"/>
      <c r="BK115" s="190"/>
      <c r="BL115" s="189"/>
      <c r="BM115" s="194"/>
      <c r="BN115" s="281"/>
      <c r="BO115" s="279"/>
      <c r="BP115" s="279"/>
      <c r="BQ115" s="189"/>
      <c r="BR115" s="189"/>
      <c r="BS115" s="190"/>
      <c r="BT115" s="189"/>
      <c r="BU115" s="194"/>
      <c r="BV115" s="281"/>
      <c r="BW115" s="279"/>
      <c r="BX115" s="279"/>
      <c r="BY115" s="189"/>
      <c r="BZ115" s="189"/>
      <c r="CA115" s="190"/>
      <c r="CB115" s="189"/>
      <c r="CC115" s="194"/>
      <c r="CD115" s="281"/>
      <c r="CE115" s="279"/>
      <c r="CF115" s="279"/>
      <c r="CG115" s="189"/>
      <c r="CH115" s="189"/>
      <c r="CI115" s="190"/>
      <c r="CJ115" s="189"/>
      <c r="CK115" s="194"/>
      <c r="CL115" s="281"/>
      <c r="CM115" s="279"/>
      <c r="CN115" s="279"/>
      <c r="CO115" s="189"/>
      <c r="CP115" s="189"/>
      <c r="CQ115" s="190"/>
      <c r="CR115" s="189"/>
      <c r="CS115" s="194"/>
      <c r="CT115" s="281"/>
      <c r="CU115" s="279"/>
      <c r="CV115" s="279"/>
      <c r="CW115" s="189"/>
      <c r="CX115" s="189"/>
      <c r="CY115" s="190"/>
      <c r="CZ115" s="189"/>
      <c r="DA115" s="194"/>
      <c r="DB115" s="281"/>
      <c r="DC115" s="279"/>
      <c r="DD115" s="279"/>
      <c r="DE115" s="189"/>
      <c r="DF115" s="189"/>
      <c r="DG115" s="190"/>
      <c r="DH115" s="189"/>
      <c r="DI115" s="194"/>
      <c r="DJ115" s="281"/>
      <c r="DK115" s="279"/>
      <c r="DL115" s="279"/>
      <c r="DM115" s="189"/>
      <c r="DN115" s="189"/>
      <c r="DO115" s="190"/>
      <c r="DP115" s="189"/>
      <c r="DQ115" s="194"/>
      <c r="DR115" s="281"/>
      <c r="DS115" s="279"/>
      <c r="DT115" s="279"/>
      <c r="DU115" s="189"/>
      <c r="DV115" s="189"/>
      <c r="DW115" s="190"/>
      <c r="DX115" s="189"/>
      <c r="DY115" s="194"/>
      <c r="DZ115" s="281"/>
      <c r="EA115" s="279"/>
      <c r="EB115" s="279"/>
      <c r="EC115" s="189"/>
      <c r="ED115" s="189"/>
      <c r="EE115" s="190"/>
      <c r="EF115" s="189"/>
      <c r="EG115" s="194"/>
      <c r="EH115" s="281"/>
      <c r="EI115" s="279"/>
      <c r="EJ115" s="279"/>
      <c r="EK115" s="189"/>
      <c r="EL115" s="189"/>
      <c r="EM115" s="190"/>
      <c r="EN115" s="189"/>
      <c r="EO115" s="194"/>
      <c r="EP115" s="281"/>
      <c r="EQ115" s="279"/>
      <c r="ER115" s="279"/>
      <c r="ES115" s="189"/>
      <c r="ET115" s="189"/>
      <c r="EU115" s="190"/>
      <c r="EV115" s="189"/>
      <c r="EW115" s="194"/>
      <c r="EX115" s="281"/>
      <c r="EY115" s="279"/>
      <c r="EZ115" s="279"/>
      <c r="FA115" s="189"/>
      <c r="FB115" s="189"/>
      <c r="FC115" s="190"/>
      <c r="FD115" s="189"/>
      <c r="FE115" s="194"/>
      <c r="FF115" s="281"/>
      <c r="FG115" s="279"/>
      <c r="FH115" s="279"/>
      <c r="FI115" s="189"/>
      <c r="FJ115" s="189"/>
      <c r="FK115" s="190"/>
      <c r="FL115" s="189"/>
      <c r="FM115" s="194"/>
      <c r="FN115" s="281"/>
      <c r="FO115" s="279"/>
      <c r="FP115" s="279"/>
      <c r="FQ115" s="189"/>
      <c r="FR115" s="189"/>
      <c r="FS115" s="190"/>
      <c r="FT115" s="189"/>
      <c r="FU115" s="194"/>
      <c r="FV115" s="281"/>
      <c r="FW115" s="279"/>
      <c r="FX115" s="279"/>
      <c r="FY115" s="189"/>
      <c r="FZ115" s="189"/>
      <c r="GA115" s="190"/>
      <c r="GB115" s="189"/>
      <c r="GC115" s="194"/>
      <c r="GD115" s="281"/>
      <c r="GE115" s="279"/>
      <c r="GF115" s="279"/>
      <c r="GG115" s="189"/>
      <c r="GH115" s="189"/>
      <c r="GI115" s="190"/>
      <c r="GJ115" s="189"/>
      <c r="GK115" s="194"/>
      <c r="GL115" s="281"/>
      <c r="GM115" s="279"/>
      <c r="GN115" s="279"/>
      <c r="GO115" s="189"/>
      <c r="GP115" s="189"/>
      <c r="GQ115" s="190"/>
      <c r="GR115" s="189"/>
      <c r="GS115" s="194"/>
      <c r="GT115" s="281"/>
      <c r="GU115" s="279"/>
      <c r="GV115" s="279"/>
      <c r="GW115" s="189"/>
      <c r="GX115" s="189"/>
      <c r="GY115" s="190"/>
      <c r="GZ115" s="189"/>
      <c r="HA115" s="194"/>
      <c r="HB115" s="281"/>
      <c r="HC115" s="279"/>
      <c r="HD115" s="279"/>
      <c r="HE115" s="189"/>
      <c r="HF115" s="189"/>
      <c r="HG115" s="190"/>
      <c r="HH115" s="189"/>
      <c r="HI115" s="194"/>
      <c r="HJ115" s="281"/>
      <c r="HK115" s="279"/>
      <c r="HL115" s="279"/>
      <c r="HM115" s="189"/>
      <c r="HN115" s="189"/>
      <c r="HO115" s="190"/>
      <c r="HP115" s="189"/>
      <c r="HQ115" s="194"/>
      <c r="HR115" s="281"/>
      <c r="HS115" s="279"/>
      <c r="HT115" s="279"/>
      <c r="HU115" s="189"/>
      <c r="HV115" s="189"/>
      <c r="HW115" s="190"/>
      <c r="HX115" s="189"/>
      <c r="HY115" s="194"/>
      <c r="HZ115" s="281"/>
      <c r="IA115" s="279"/>
      <c r="IB115" s="279"/>
      <c r="IC115" s="189"/>
      <c r="ID115" s="189"/>
      <c r="IE115" s="190"/>
      <c r="IF115" s="189"/>
      <c r="IG115" s="194"/>
      <c r="IH115" s="281"/>
      <c r="II115" s="279"/>
      <c r="IJ115" s="279"/>
      <c r="IK115" s="189"/>
      <c r="IL115" s="189"/>
      <c r="IM115" s="190"/>
      <c r="IN115" s="189"/>
    </row>
    <row r="116" spans="1:248" s="188" customFormat="1" ht="12.75">
      <c r="A116" s="227"/>
      <c r="B116" s="51" t="s">
        <v>234</v>
      </c>
      <c r="C116" s="212" t="s">
        <v>80</v>
      </c>
      <c r="D116" s="212">
        <v>165</v>
      </c>
      <c r="E116" s="215"/>
      <c r="F116" s="215"/>
      <c r="G116" s="215"/>
      <c r="H116" s="189"/>
      <c r="I116" s="215" t="s">
        <v>470</v>
      </c>
      <c r="J116" s="281"/>
      <c r="K116" s="279"/>
      <c r="L116" s="279"/>
      <c r="M116" s="189"/>
      <c r="N116" s="189"/>
      <c r="O116" s="189"/>
      <c r="P116" s="189"/>
      <c r="Q116" s="194"/>
      <c r="R116" s="281"/>
      <c r="S116" s="279"/>
      <c r="T116" s="279"/>
      <c r="U116" s="189"/>
      <c r="V116" s="189"/>
      <c r="W116" s="189"/>
      <c r="X116" s="189"/>
      <c r="Y116" s="194"/>
      <c r="Z116" s="281"/>
      <c r="AA116" s="279"/>
      <c r="AB116" s="279"/>
      <c r="AC116" s="189"/>
      <c r="AD116" s="189"/>
      <c r="AE116" s="189"/>
      <c r="AF116" s="189"/>
      <c r="AG116" s="194"/>
      <c r="AH116" s="281"/>
      <c r="AI116" s="279"/>
      <c r="AJ116" s="279"/>
      <c r="AK116" s="189"/>
      <c r="AL116" s="189"/>
      <c r="AM116" s="189"/>
      <c r="AN116" s="189"/>
      <c r="AO116" s="194"/>
      <c r="AP116" s="281"/>
      <c r="AQ116" s="279"/>
      <c r="AR116" s="279"/>
      <c r="AS116" s="189"/>
      <c r="AT116" s="189"/>
      <c r="AU116" s="189"/>
      <c r="AV116" s="189"/>
      <c r="AW116" s="194"/>
      <c r="AX116" s="281"/>
      <c r="AY116" s="279"/>
      <c r="AZ116" s="279"/>
      <c r="BA116" s="189"/>
      <c r="BB116" s="189"/>
      <c r="BC116" s="189"/>
      <c r="BD116" s="189"/>
      <c r="BE116" s="194"/>
      <c r="BF116" s="281"/>
      <c r="BG116" s="279"/>
      <c r="BH116" s="279"/>
      <c r="BI116" s="189"/>
      <c r="BJ116" s="189"/>
      <c r="BK116" s="189"/>
      <c r="BL116" s="189"/>
      <c r="BM116" s="194"/>
      <c r="BN116" s="281"/>
      <c r="BO116" s="279"/>
      <c r="BP116" s="279"/>
      <c r="BQ116" s="189"/>
      <c r="BR116" s="189"/>
      <c r="BS116" s="189"/>
      <c r="BT116" s="189"/>
      <c r="BU116" s="194"/>
      <c r="BV116" s="281"/>
      <c r="BW116" s="279"/>
      <c r="BX116" s="279"/>
      <c r="BY116" s="189"/>
      <c r="BZ116" s="189"/>
      <c r="CA116" s="189"/>
      <c r="CB116" s="189"/>
      <c r="CC116" s="194"/>
      <c r="CD116" s="281"/>
      <c r="CE116" s="279"/>
      <c r="CF116" s="279"/>
      <c r="CG116" s="189"/>
      <c r="CH116" s="189"/>
      <c r="CI116" s="189"/>
      <c r="CJ116" s="189"/>
      <c r="CK116" s="194"/>
      <c r="CL116" s="281"/>
      <c r="CM116" s="279"/>
      <c r="CN116" s="279"/>
      <c r="CO116" s="189"/>
      <c r="CP116" s="189"/>
      <c r="CQ116" s="189"/>
      <c r="CR116" s="189"/>
      <c r="CS116" s="194"/>
      <c r="CT116" s="281"/>
      <c r="CU116" s="279"/>
      <c r="CV116" s="279"/>
      <c r="CW116" s="189"/>
      <c r="CX116" s="189"/>
      <c r="CY116" s="189"/>
      <c r="CZ116" s="189"/>
      <c r="DA116" s="194"/>
      <c r="DB116" s="281"/>
      <c r="DC116" s="279"/>
      <c r="DD116" s="279"/>
      <c r="DE116" s="189"/>
      <c r="DF116" s="189"/>
      <c r="DG116" s="189"/>
      <c r="DH116" s="189"/>
      <c r="DI116" s="194"/>
      <c r="DJ116" s="281"/>
      <c r="DK116" s="279"/>
      <c r="DL116" s="279"/>
      <c r="DM116" s="189"/>
      <c r="DN116" s="189"/>
      <c r="DO116" s="189"/>
      <c r="DP116" s="189"/>
      <c r="DQ116" s="194"/>
      <c r="DR116" s="281"/>
      <c r="DS116" s="279"/>
      <c r="DT116" s="279"/>
      <c r="DU116" s="189"/>
      <c r="DV116" s="189"/>
      <c r="DW116" s="189"/>
      <c r="DX116" s="189"/>
      <c r="DY116" s="194"/>
      <c r="DZ116" s="281"/>
      <c r="EA116" s="279"/>
      <c r="EB116" s="279"/>
      <c r="EC116" s="189"/>
      <c r="ED116" s="189"/>
      <c r="EE116" s="189"/>
      <c r="EF116" s="189"/>
      <c r="EG116" s="194"/>
      <c r="EH116" s="281"/>
      <c r="EI116" s="279"/>
      <c r="EJ116" s="279"/>
      <c r="EK116" s="189"/>
      <c r="EL116" s="189"/>
      <c r="EM116" s="189"/>
      <c r="EN116" s="189"/>
      <c r="EO116" s="194"/>
      <c r="EP116" s="281"/>
      <c r="EQ116" s="279"/>
      <c r="ER116" s="279"/>
      <c r="ES116" s="189"/>
      <c r="ET116" s="189"/>
      <c r="EU116" s="189"/>
      <c r="EV116" s="189"/>
      <c r="EW116" s="194"/>
      <c r="EX116" s="281"/>
      <c r="EY116" s="279"/>
      <c r="EZ116" s="279"/>
      <c r="FA116" s="189"/>
      <c r="FB116" s="189"/>
      <c r="FC116" s="189"/>
      <c r="FD116" s="189"/>
      <c r="FE116" s="194"/>
      <c r="FF116" s="281"/>
      <c r="FG116" s="279"/>
      <c r="FH116" s="279"/>
      <c r="FI116" s="189"/>
      <c r="FJ116" s="189"/>
      <c r="FK116" s="189"/>
      <c r="FL116" s="189"/>
      <c r="FM116" s="194"/>
      <c r="FN116" s="281"/>
      <c r="FO116" s="279"/>
      <c r="FP116" s="279"/>
      <c r="FQ116" s="189"/>
      <c r="FR116" s="189"/>
      <c r="FS116" s="189"/>
      <c r="FT116" s="189"/>
      <c r="FU116" s="194"/>
      <c r="FV116" s="281"/>
      <c r="FW116" s="279"/>
      <c r="FX116" s="279"/>
      <c r="FY116" s="189"/>
      <c r="FZ116" s="189"/>
      <c r="GA116" s="189"/>
      <c r="GB116" s="189"/>
      <c r="GC116" s="194"/>
      <c r="GD116" s="281"/>
      <c r="GE116" s="279"/>
      <c r="GF116" s="279"/>
      <c r="GG116" s="189"/>
      <c r="GH116" s="189"/>
      <c r="GI116" s="189"/>
      <c r="GJ116" s="189"/>
      <c r="GK116" s="194"/>
      <c r="GL116" s="281"/>
      <c r="GM116" s="279"/>
      <c r="GN116" s="279"/>
      <c r="GO116" s="189"/>
      <c r="GP116" s="189"/>
      <c r="GQ116" s="189"/>
      <c r="GR116" s="189"/>
      <c r="GS116" s="194"/>
      <c r="GT116" s="281"/>
      <c r="GU116" s="279"/>
      <c r="GV116" s="279"/>
      <c r="GW116" s="189"/>
      <c r="GX116" s="189"/>
      <c r="GY116" s="189"/>
      <c r="GZ116" s="189"/>
      <c r="HA116" s="194"/>
      <c r="HB116" s="281"/>
      <c r="HC116" s="279"/>
      <c r="HD116" s="279"/>
      <c r="HE116" s="189"/>
      <c r="HF116" s="189"/>
      <c r="HG116" s="189"/>
      <c r="HH116" s="189"/>
      <c r="HI116" s="194"/>
      <c r="HJ116" s="281"/>
      <c r="HK116" s="279"/>
      <c r="HL116" s="279"/>
      <c r="HM116" s="189"/>
      <c r="HN116" s="189"/>
      <c r="HO116" s="189"/>
      <c r="HP116" s="189"/>
      <c r="HQ116" s="194"/>
      <c r="HR116" s="281"/>
      <c r="HS116" s="279"/>
      <c r="HT116" s="279"/>
      <c r="HU116" s="189"/>
      <c r="HV116" s="189"/>
      <c r="HW116" s="189"/>
      <c r="HX116" s="189"/>
      <c r="HY116" s="194"/>
      <c r="HZ116" s="281"/>
      <c r="IA116" s="279"/>
      <c r="IB116" s="279"/>
      <c r="IC116" s="189"/>
      <c r="ID116" s="189"/>
      <c r="IE116" s="189"/>
      <c r="IF116" s="189"/>
      <c r="IG116" s="194"/>
      <c r="IH116" s="281"/>
      <c r="II116" s="279"/>
      <c r="IJ116" s="279"/>
      <c r="IK116" s="189"/>
      <c r="IL116" s="189"/>
      <c r="IM116" s="189"/>
      <c r="IN116" s="189"/>
    </row>
    <row r="117" spans="1:248" s="188" customFormat="1" ht="12.75">
      <c r="A117" s="227"/>
      <c r="B117" s="51" t="s">
        <v>355</v>
      </c>
      <c r="C117" s="212" t="s">
        <v>80</v>
      </c>
      <c r="D117" s="212">
        <f>50+75</f>
        <v>125</v>
      </c>
      <c r="E117" s="215"/>
      <c r="F117" s="215"/>
      <c r="G117" s="215"/>
      <c r="H117" s="215"/>
      <c r="I117" s="215" t="s">
        <v>471</v>
      </c>
      <c r="J117" s="281"/>
      <c r="K117" s="279"/>
      <c r="L117" s="279"/>
      <c r="M117" s="189"/>
      <c r="N117" s="189"/>
      <c r="O117" s="189"/>
      <c r="P117" s="189"/>
      <c r="Q117" s="194"/>
      <c r="R117" s="281"/>
      <c r="S117" s="279"/>
      <c r="T117" s="279"/>
      <c r="U117" s="189"/>
      <c r="V117" s="189"/>
      <c r="W117" s="189"/>
      <c r="X117" s="189"/>
      <c r="Y117" s="194"/>
      <c r="Z117" s="281"/>
      <c r="AA117" s="279"/>
      <c r="AB117" s="279"/>
      <c r="AC117" s="189"/>
      <c r="AD117" s="189"/>
      <c r="AE117" s="189"/>
      <c r="AF117" s="189"/>
      <c r="AG117" s="194"/>
      <c r="AH117" s="281"/>
      <c r="AI117" s="279"/>
      <c r="AJ117" s="279"/>
      <c r="AK117" s="189"/>
      <c r="AL117" s="189"/>
      <c r="AM117" s="189"/>
      <c r="AN117" s="189"/>
      <c r="AO117" s="194"/>
      <c r="AP117" s="281"/>
      <c r="AQ117" s="279"/>
      <c r="AR117" s="279"/>
      <c r="AS117" s="189"/>
      <c r="AT117" s="189"/>
      <c r="AU117" s="189"/>
      <c r="AV117" s="189"/>
      <c r="AW117" s="194"/>
      <c r="AX117" s="281"/>
      <c r="AY117" s="279"/>
      <c r="AZ117" s="279"/>
      <c r="BA117" s="189"/>
      <c r="BB117" s="189"/>
      <c r="BC117" s="189"/>
      <c r="BD117" s="189"/>
      <c r="BE117" s="194"/>
      <c r="BF117" s="281"/>
      <c r="BG117" s="279"/>
      <c r="BH117" s="279"/>
      <c r="BI117" s="189"/>
      <c r="BJ117" s="189"/>
      <c r="BK117" s="189"/>
      <c r="BL117" s="189"/>
      <c r="BM117" s="194"/>
      <c r="BN117" s="281"/>
      <c r="BO117" s="279"/>
      <c r="BP117" s="279"/>
      <c r="BQ117" s="189"/>
      <c r="BR117" s="189"/>
      <c r="BS117" s="189"/>
      <c r="BT117" s="189"/>
      <c r="BU117" s="194"/>
      <c r="BV117" s="281"/>
      <c r="BW117" s="279"/>
      <c r="BX117" s="279"/>
      <c r="BY117" s="189"/>
      <c r="BZ117" s="189"/>
      <c r="CA117" s="189"/>
      <c r="CB117" s="189"/>
      <c r="CC117" s="194"/>
      <c r="CD117" s="281"/>
      <c r="CE117" s="279"/>
      <c r="CF117" s="279"/>
      <c r="CG117" s="189"/>
      <c r="CH117" s="189"/>
      <c r="CI117" s="189"/>
      <c r="CJ117" s="189"/>
      <c r="CK117" s="194"/>
      <c r="CL117" s="281"/>
      <c r="CM117" s="279"/>
      <c r="CN117" s="279"/>
      <c r="CO117" s="189"/>
      <c r="CP117" s="189"/>
      <c r="CQ117" s="189"/>
      <c r="CR117" s="189"/>
      <c r="CS117" s="194"/>
      <c r="CT117" s="281"/>
      <c r="CU117" s="279"/>
      <c r="CV117" s="279"/>
      <c r="CW117" s="189"/>
      <c r="CX117" s="189"/>
      <c r="CY117" s="189"/>
      <c r="CZ117" s="189"/>
      <c r="DA117" s="194"/>
      <c r="DB117" s="281"/>
      <c r="DC117" s="279"/>
      <c r="DD117" s="279"/>
      <c r="DE117" s="189"/>
      <c r="DF117" s="189"/>
      <c r="DG117" s="189"/>
      <c r="DH117" s="189"/>
      <c r="DI117" s="194"/>
      <c r="DJ117" s="281"/>
      <c r="DK117" s="279"/>
      <c r="DL117" s="279"/>
      <c r="DM117" s="189"/>
      <c r="DN117" s="189"/>
      <c r="DO117" s="189"/>
      <c r="DP117" s="189"/>
      <c r="DQ117" s="194"/>
      <c r="DR117" s="281"/>
      <c r="DS117" s="279"/>
      <c r="DT117" s="279"/>
      <c r="DU117" s="189"/>
      <c r="DV117" s="189"/>
      <c r="DW117" s="189"/>
      <c r="DX117" s="189"/>
      <c r="DY117" s="194"/>
      <c r="DZ117" s="281"/>
      <c r="EA117" s="279"/>
      <c r="EB117" s="279"/>
      <c r="EC117" s="189"/>
      <c r="ED117" s="189"/>
      <c r="EE117" s="189"/>
      <c r="EF117" s="189"/>
      <c r="EG117" s="194"/>
      <c r="EH117" s="281"/>
      <c r="EI117" s="279"/>
      <c r="EJ117" s="279"/>
      <c r="EK117" s="189"/>
      <c r="EL117" s="189"/>
      <c r="EM117" s="189"/>
      <c r="EN117" s="189"/>
      <c r="EO117" s="194"/>
      <c r="EP117" s="281"/>
      <c r="EQ117" s="279"/>
      <c r="ER117" s="279"/>
      <c r="ES117" s="189"/>
      <c r="ET117" s="189"/>
      <c r="EU117" s="189"/>
      <c r="EV117" s="189"/>
      <c r="EW117" s="194"/>
      <c r="EX117" s="281"/>
      <c r="EY117" s="279"/>
      <c r="EZ117" s="279"/>
      <c r="FA117" s="189"/>
      <c r="FB117" s="189"/>
      <c r="FC117" s="189"/>
      <c r="FD117" s="189"/>
      <c r="FE117" s="194"/>
      <c r="FF117" s="281"/>
      <c r="FG117" s="279"/>
      <c r="FH117" s="279"/>
      <c r="FI117" s="189"/>
      <c r="FJ117" s="189"/>
      <c r="FK117" s="189"/>
      <c r="FL117" s="189"/>
      <c r="FM117" s="194"/>
      <c r="FN117" s="281"/>
      <c r="FO117" s="279"/>
      <c r="FP117" s="279"/>
      <c r="FQ117" s="189"/>
      <c r="FR117" s="189"/>
      <c r="FS117" s="189"/>
      <c r="FT117" s="189"/>
      <c r="FU117" s="194"/>
      <c r="FV117" s="281"/>
      <c r="FW117" s="279"/>
      <c r="FX117" s="279"/>
      <c r="FY117" s="189"/>
      <c r="FZ117" s="189"/>
      <c r="GA117" s="189"/>
      <c r="GB117" s="189"/>
      <c r="GC117" s="194"/>
      <c r="GD117" s="281"/>
      <c r="GE117" s="279"/>
      <c r="GF117" s="279"/>
      <c r="GG117" s="189"/>
      <c r="GH117" s="189"/>
      <c r="GI117" s="189"/>
      <c r="GJ117" s="189"/>
      <c r="GK117" s="194"/>
      <c r="GL117" s="281"/>
      <c r="GM117" s="279"/>
      <c r="GN117" s="279"/>
      <c r="GO117" s="189"/>
      <c r="GP117" s="189"/>
      <c r="GQ117" s="189"/>
      <c r="GR117" s="189"/>
      <c r="GS117" s="194"/>
      <c r="GT117" s="281"/>
      <c r="GU117" s="279"/>
      <c r="GV117" s="279"/>
      <c r="GW117" s="189"/>
      <c r="GX117" s="189"/>
      <c r="GY117" s="189"/>
      <c r="GZ117" s="189"/>
      <c r="HA117" s="194"/>
      <c r="HB117" s="281"/>
      <c r="HC117" s="279"/>
      <c r="HD117" s="279"/>
      <c r="HE117" s="189"/>
      <c r="HF117" s="189"/>
      <c r="HG117" s="189"/>
      <c r="HH117" s="189"/>
      <c r="HI117" s="194"/>
      <c r="HJ117" s="281"/>
      <c r="HK117" s="279"/>
      <c r="HL117" s="279"/>
      <c r="HM117" s="189"/>
      <c r="HN117" s="189"/>
      <c r="HO117" s="189"/>
      <c r="HP117" s="189"/>
      <c r="HQ117" s="194"/>
      <c r="HR117" s="281"/>
      <c r="HS117" s="279"/>
      <c r="HT117" s="279"/>
      <c r="HU117" s="189"/>
      <c r="HV117" s="189"/>
      <c r="HW117" s="189"/>
      <c r="HX117" s="189"/>
      <c r="HY117" s="194"/>
      <c r="HZ117" s="281"/>
      <c r="IA117" s="279"/>
      <c r="IB117" s="279"/>
      <c r="IC117" s="189"/>
      <c r="ID117" s="189"/>
      <c r="IE117" s="189"/>
      <c r="IF117" s="189"/>
      <c r="IG117" s="194"/>
      <c r="IH117" s="281"/>
      <c r="II117" s="279"/>
      <c r="IJ117" s="279"/>
      <c r="IK117" s="189"/>
      <c r="IL117" s="189"/>
      <c r="IM117" s="189"/>
      <c r="IN117" s="189"/>
    </row>
    <row r="118" spans="1:248" s="188" customFormat="1" ht="12.75">
      <c r="A118" s="227"/>
      <c r="B118" s="51" t="s">
        <v>237</v>
      </c>
      <c r="C118" s="212" t="s">
        <v>53</v>
      </c>
      <c r="D118" s="212">
        <f>2.8+3.7</f>
        <v>6.5</v>
      </c>
      <c r="E118" s="215"/>
      <c r="F118" s="215"/>
      <c r="G118" s="261"/>
      <c r="H118" s="260"/>
      <c r="I118" s="215" t="s">
        <v>472</v>
      </c>
      <c r="J118" s="281"/>
      <c r="K118" s="279"/>
      <c r="L118" s="279"/>
      <c r="M118" s="189"/>
      <c r="N118" s="189"/>
      <c r="O118" s="189"/>
      <c r="P118" s="189"/>
      <c r="Q118" s="194"/>
      <c r="R118" s="281"/>
      <c r="S118" s="279"/>
      <c r="T118" s="279"/>
      <c r="U118" s="189"/>
      <c r="V118" s="189"/>
      <c r="W118" s="189"/>
      <c r="X118" s="189"/>
      <c r="Y118" s="194"/>
      <c r="Z118" s="281"/>
      <c r="AA118" s="279"/>
      <c r="AB118" s="279"/>
      <c r="AC118" s="189"/>
      <c r="AD118" s="189"/>
      <c r="AE118" s="189"/>
      <c r="AF118" s="189"/>
      <c r="AG118" s="194"/>
      <c r="AH118" s="281"/>
      <c r="AI118" s="279"/>
      <c r="AJ118" s="279"/>
      <c r="AK118" s="189"/>
      <c r="AL118" s="189"/>
      <c r="AM118" s="189"/>
      <c r="AN118" s="189"/>
      <c r="AO118" s="194"/>
      <c r="AP118" s="281"/>
      <c r="AQ118" s="279"/>
      <c r="AR118" s="279"/>
      <c r="AS118" s="189"/>
      <c r="AT118" s="189"/>
      <c r="AU118" s="189"/>
      <c r="AV118" s="189"/>
      <c r="AW118" s="194"/>
      <c r="AX118" s="281"/>
      <c r="AY118" s="279"/>
      <c r="AZ118" s="279"/>
      <c r="BA118" s="189"/>
      <c r="BB118" s="189"/>
      <c r="BC118" s="189"/>
      <c r="BD118" s="189"/>
      <c r="BE118" s="194"/>
      <c r="BF118" s="281"/>
      <c r="BG118" s="279"/>
      <c r="BH118" s="279"/>
      <c r="BI118" s="189"/>
      <c r="BJ118" s="189"/>
      <c r="BK118" s="189"/>
      <c r="BL118" s="189"/>
      <c r="BM118" s="194"/>
      <c r="BN118" s="281"/>
      <c r="BO118" s="279"/>
      <c r="BP118" s="279"/>
      <c r="BQ118" s="189"/>
      <c r="BR118" s="189"/>
      <c r="BS118" s="189"/>
      <c r="BT118" s="189"/>
      <c r="BU118" s="194"/>
      <c r="BV118" s="281"/>
      <c r="BW118" s="279"/>
      <c r="BX118" s="279"/>
      <c r="BY118" s="189"/>
      <c r="BZ118" s="189"/>
      <c r="CA118" s="189"/>
      <c r="CB118" s="189"/>
      <c r="CC118" s="194"/>
      <c r="CD118" s="281"/>
      <c r="CE118" s="279"/>
      <c r="CF118" s="279"/>
      <c r="CG118" s="189"/>
      <c r="CH118" s="189"/>
      <c r="CI118" s="189"/>
      <c r="CJ118" s="189"/>
      <c r="CK118" s="194"/>
      <c r="CL118" s="281"/>
      <c r="CM118" s="279"/>
      <c r="CN118" s="279"/>
      <c r="CO118" s="189"/>
      <c r="CP118" s="189"/>
      <c r="CQ118" s="189"/>
      <c r="CR118" s="189"/>
      <c r="CS118" s="194"/>
      <c r="CT118" s="281"/>
      <c r="CU118" s="279"/>
      <c r="CV118" s="279"/>
      <c r="CW118" s="189"/>
      <c r="CX118" s="189"/>
      <c r="CY118" s="189"/>
      <c r="CZ118" s="189"/>
      <c r="DA118" s="194"/>
      <c r="DB118" s="281"/>
      <c r="DC118" s="279"/>
      <c r="DD118" s="279"/>
      <c r="DE118" s="189"/>
      <c r="DF118" s="189"/>
      <c r="DG118" s="189"/>
      <c r="DH118" s="189"/>
      <c r="DI118" s="194"/>
      <c r="DJ118" s="281"/>
      <c r="DK118" s="279"/>
      <c r="DL118" s="279"/>
      <c r="DM118" s="189"/>
      <c r="DN118" s="189"/>
      <c r="DO118" s="189"/>
      <c r="DP118" s="189"/>
      <c r="DQ118" s="194"/>
      <c r="DR118" s="281"/>
      <c r="DS118" s="279"/>
      <c r="DT118" s="279"/>
      <c r="DU118" s="189"/>
      <c r="DV118" s="189"/>
      <c r="DW118" s="189"/>
      <c r="DX118" s="189"/>
      <c r="DY118" s="194"/>
      <c r="DZ118" s="281"/>
      <c r="EA118" s="279"/>
      <c r="EB118" s="279"/>
      <c r="EC118" s="189"/>
      <c r="ED118" s="189"/>
      <c r="EE118" s="189"/>
      <c r="EF118" s="189"/>
      <c r="EG118" s="194"/>
      <c r="EH118" s="281"/>
      <c r="EI118" s="279"/>
      <c r="EJ118" s="279"/>
      <c r="EK118" s="189"/>
      <c r="EL118" s="189"/>
      <c r="EM118" s="189"/>
      <c r="EN118" s="189"/>
      <c r="EO118" s="194"/>
      <c r="EP118" s="281"/>
      <c r="EQ118" s="279"/>
      <c r="ER118" s="279"/>
      <c r="ES118" s="189"/>
      <c r="ET118" s="189"/>
      <c r="EU118" s="189"/>
      <c r="EV118" s="189"/>
      <c r="EW118" s="194"/>
      <c r="EX118" s="281"/>
      <c r="EY118" s="279"/>
      <c r="EZ118" s="279"/>
      <c r="FA118" s="189"/>
      <c r="FB118" s="189"/>
      <c r="FC118" s="189"/>
      <c r="FD118" s="189"/>
      <c r="FE118" s="194"/>
      <c r="FF118" s="281"/>
      <c r="FG118" s="279"/>
      <c r="FH118" s="279"/>
      <c r="FI118" s="189"/>
      <c r="FJ118" s="189"/>
      <c r="FK118" s="189"/>
      <c r="FL118" s="189"/>
      <c r="FM118" s="194"/>
      <c r="FN118" s="281"/>
      <c r="FO118" s="279"/>
      <c r="FP118" s="279"/>
      <c r="FQ118" s="189"/>
      <c r="FR118" s="189"/>
      <c r="FS118" s="189"/>
      <c r="FT118" s="189"/>
      <c r="FU118" s="194"/>
      <c r="FV118" s="281"/>
      <c r="FW118" s="279"/>
      <c r="FX118" s="279"/>
      <c r="FY118" s="189"/>
      <c r="FZ118" s="189"/>
      <c r="GA118" s="189"/>
      <c r="GB118" s="189"/>
      <c r="GC118" s="194"/>
      <c r="GD118" s="281"/>
      <c r="GE118" s="279"/>
      <c r="GF118" s="279"/>
      <c r="GG118" s="189"/>
      <c r="GH118" s="189"/>
      <c r="GI118" s="189"/>
      <c r="GJ118" s="189"/>
      <c r="GK118" s="194"/>
      <c r="GL118" s="281"/>
      <c r="GM118" s="279"/>
      <c r="GN118" s="279"/>
      <c r="GO118" s="189"/>
      <c r="GP118" s="189"/>
      <c r="GQ118" s="189"/>
      <c r="GR118" s="189"/>
      <c r="GS118" s="194"/>
      <c r="GT118" s="281"/>
      <c r="GU118" s="279"/>
      <c r="GV118" s="279"/>
      <c r="GW118" s="189"/>
      <c r="GX118" s="189"/>
      <c r="GY118" s="189"/>
      <c r="GZ118" s="189"/>
      <c r="HA118" s="194"/>
      <c r="HB118" s="281"/>
      <c r="HC118" s="279"/>
      <c r="HD118" s="279"/>
      <c r="HE118" s="189"/>
      <c r="HF118" s="189"/>
      <c r="HG118" s="189"/>
      <c r="HH118" s="189"/>
      <c r="HI118" s="194"/>
      <c r="HJ118" s="281"/>
      <c r="HK118" s="279"/>
      <c r="HL118" s="279"/>
      <c r="HM118" s="189"/>
      <c r="HN118" s="189"/>
      <c r="HO118" s="189"/>
      <c r="HP118" s="189"/>
      <c r="HQ118" s="194"/>
      <c r="HR118" s="281"/>
      <c r="HS118" s="279"/>
      <c r="HT118" s="279"/>
      <c r="HU118" s="189"/>
      <c r="HV118" s="189"/>
      <c r="HW118" s="189"/>
      <c r="HX118" s="189"/>
      <c r="HY118" s="194"/>
      <c r="HZ118" s="281"/>
      <c r="IA118" s="279"/>
      <c r="IB118" s="279"/>
      <c r="IC118" s="189"/>
      <c r="ID118" s="189"/>
      <c r="IE118" s="189"/>
      <c r="IF118" s="189"/>
      <c r="IG118" s="194"/>
      <c r="IH118" s="281"/>
      <c r="II118" s="279"/>
      <c r="IJ118" s="279"/>
      <c r="IK118" s="189"/>
      <c r="IL118" s="189"/>
      <c r="IM118" s="189"/>
      <c r="IN118" s="189"/>
    </row>
    <row r="119" spans="1:248" s="188" customFormat="1" ht="25.5">
      <c r="A119" s="227"/>
      <c r="B119" s="51" t="s">
        <v>240</v>
      </c>
      <c r="C119" s="215" t="s">
        <v>80</v>
      </c>
      <c r="D119" s="215">
        <v>2</v>
      </c>
      <c r="E119" s="215"/>
      <c r="F119" s="215"/>
      <c r="G119" s="285">
        <f>147+34+58</f>
        <v>239</v>
      </c>
      <c r="H119" s="284">
        <f>1466+592+218+704+354+130+674+1673+615</f>
        <v>6426</v>
      </c>
      <c r="I119" s="215" t="s">
        <v>473</v>
      </c>
      <c r="J119" s="281"/>
      <c r="K119" s="279"/>
      <c r="L119" s="279"/>
      <c r="M119" s="189"/>
      <c r="N119" s="189"/>
      <c r="O119" s="189"/>
      <c r="P119" s="189"/>
      <c r="Q119" s="194"/>
      <c r="R119" s="281"/>
      <c r="S119" s="279"/>
      <c r="T119" s="279"/>
      <c r="U119" s="189"/>
      <c r="V119" s="189"/>
      <c r="W119" s="189"/>
      <c r="X119" s="189"/>
      <c r="Y119" s="194"/>
      <c r="Z119" s="281"/>
      <c r="AA119" s="279"/>
      <c r="AB119" s="279"/>
      <c r="AC119" s="189"/>
      <c r="AD119" s="189"/>
      <c r="AE119" s="189"/>
      <c r="AF119" s="189"/>
      <c r="AG119" s="194"/>
      <c r="AH119" s="281"/>
      <c r="AI119" s="279"/>
      <c r="AJ119" s="279"/>
      <c r="AK119" s="189"/>
      <c r="AL119" s="189"/>
      <c r="AM119" s="189"/>
      <c r="AN119" s="189"/>
      <c r="AO119" s="194"/>
      <c r="AP119" s="281"/>
      <c r="AQ119" s="279"/>
      <c r="AR119" s="279"/>
      <c r="AS119" s="189"/>
      <c r="AT119" s="189"/>
      <c r="AU119" s="189"/>
      <c r="AV119" s="189"/>
      <c r="AW119" s="194"/>
      <c r="AX119" s="281"/>
      <c r="AY119" s="279"/>
      <c r="AZ119" s="279"/>
      <c r="BA119" s="189"/>
      <c r="BB119" s="189"/>
      <c r="BC119" s="189"/>
      <c r="BD119" s="189"/>
      <c r="BE119" s="194"/>
      <c r="BF119" s="281"/>
      <c r="BG119" s="279"/>
      <c r="BH119" s="279"/>
      <c r="BI119" s="189"/>
      <c r="BJ119" s="189"/>
      <c r="BK119" s="189"/>
      <c r="BL119" s="189"/>
      <c r="BM119" s="194"/>
      <c r="BN119" s="281"/>
      <c r="BO119" s="279"/>
      <c r="BP119" s="279"/>
      <c r="BQ119" s="189"/>
      <c r="BR119" s="189"/>
      <c r="BS119" s="189"/>
      <c r="BT119" s="189"/>
      <c r="BU119" s="194"/>
      <c r="BV119" s="281"/>
      <c r="BW119" s="279"/>
      <c r="BX119" s="279"/>
      <c r="BY119" s="189"/>
      <c r="BZ119" s="189"/>
      <c r="CA119" s="189"/>
      <c r="CB119" s="189"/>
      <c r="CC119" s="194"/>
      <c r="CD119" s="281"/>
      <c r="CE119" s="279"/>
      <c r="CF119" s="279"/>
      <c r="CG119" s="189"/>
      <c r="CH119" s="189"/>
      <c r="CI119" s="189"/>
      <c r="CJ119" s="189"/>
      <c r="CK119" s="194"/>
      <c r="CL119" s="281"/>
      <c r="CM119" s="279"/>
      <c r="CN119" s="279"/>
      <c r="CO119" s="189"/>
      <c r="CP119" s="189"/>
      <c r="CQ119" s="189"/>
      <c r="CR119" s="189"/>
      <c r="CS119" s="194"/>
      <c r="CT119" s="281"/>
      <c r="CU119" s="279"/>
      <c r="CV119" s="279"/>
      <c r="CW119" s="189"/>
      <c r="CX119" s="189"/>
      <c r="CY119" s="189"/>
      <c r="CZ119" s="189"/>
      <c r="DA119" s="194"/>
      <c r="DB119" s="281"/>
      <c r="DC119" s="279"/>
      <c r="DD119" s="279"/>
      <c r="DE119" s="189"/>
      <c r="DF119" s="189"/>
      <c r="DG119" s="189"/>
      <c r="DH119" s="189"/>
      <c r="DI119" s="194"/>
      <c r="DJ119" s="281"/>
      <c r="DK119" s="279"/>
      <c r="DL119" s="279"/>
      <c r="DM119" s="189"/>
      <c r="DN119" s="189"/>
      <c r="DO119" s="189"/>
      <c r="DP119" s="189"/>
      <c r="DQ119" s="194"/>
      <c r="DR119" s="281"/>
      <c r="DS119" s="279"/>
      <c r="DT119" s="279"/>
      <c r="DU119" s="189"/>
      <c r="DV119" s="189"/>
      <c r="DW119" s="189"/>
      <c r="DX119" s="189"/>
      <c r="DY119" s="194"/>
      <c r="DZ119" s="281"/>
      <c r="EA119" s="279"/>
      <c r="EB119" s="279"/>
      <c r="EC119" s="189"/>
      <c r="ED119" s="189"/>
      <c r="EE119" s="189"/>
      <c r="EF119" s="189"/>
      <c r="EG119" s="194"/>
      <c r="EH119" s="281"/>
      <c r="EI119" s="279"/>
      <c r="EJ119" s="279"/>
      <c r="EK119" s="189"/>
      <c r="EL119" s="189"/>
      <c r="EM119" s="189"/>
      <c r="EN119" s="189"/>
      <c r="EO119" s="194"/>
      <c r="EP119" s="281"/>
      <c r="EQ119" s="279"/>
      <c r="ER119" s="279"/>
      <c r="ES119" s="189"/>
      <c r="ET119" s="189"/>
      <c r="EU119" s="189"/>
      <c r="EV119" s="189"/>
      <c r="EW119" s="194"/>
      <c r="EX119" s="281"/>
      <c r="EY119" s="279"/>
      <c r="EZ119" s="279"/>
      <c r="FA119" s="189"/>
      <c r="FB119" s="189"/>
      <c r="FC119" s="189"/>
      <c r="FD119" s="189"/>
      <c r="FE119" s="194"/>
      <c r="FF119" s="281"/>
      <c r="FG119" s="279"/>
      <c r="FH119" s="279"/>
      <c r="FI119" s="189"/>
      <c r="FJ119" s="189"/>
      <c r="FK119" s="189"/>
      <c r="FL119" s="189"/>
      <c r="FM119" s="194"/>
      <c r="FN119" s="281"/>
      <c r="FO119" s="279"/>
      <c r="FP119" s="279"/>
      <c r="FQ119" s="189"/>
      <c r="FR119" s="189"/>
      <c r="FS119" s="189"/>
      <c r="FT119" s="189"/>
      <c r="FU119" s="194"/>
      <c r="FV119" s="281"/>
      <c r="FW119" s="279"/>
      <c r="FX119" s="279"/>
      <c r="FY119" s="189"/>
      <c r="FZ119" s="189"/>
      <c r="GA119" s="189"/>
      <c r="GB119" s="189"/>
      <c r="GC119" s="194"/>
      <c r="GD119" s="281"/>
      <c r="GE119" s="279"/>
      <c r="GF119" s="279"/>
      <c r="GG119" s="189"/>
      <c r="GH119" s="189"/>
      <c r="GI119" s="189"/>
      <c r="GJ119" s="189"/>
      <c r="GK119" s="194"/>
      <c r="GL119" s="281"/>
      <c r="GM119" s="279"/>
      <c r="GN119" s="279"/>
      <c r="GO119" s="189"/>
      <c r="GP119" s="189"/>
      <c r="GQ119" s="189"/>
      <c r="GR119" s="189"/>
      <c r="GS119" s="194"/>
      <c r="GT119" s="281"/>
      <c r="GU119" s="279"/>
      <c r="GV119" s="279"/>
      <c r="GW119" s="189"/>
      <c r="GX119" s="189"/>
      <c r="GY119" s="189"/>
      <c r="GZ119" s="189"/>
      <c r="HA119" s="194"/>
      <c r="HB119" s="281"/>
      <c r="HC119" s="279"/>
      <c r="HD119" s="279"/>
      <c r="HE119" s="189"/>
      <c r="HF119" s="189"/>
      <c r="HG119" s="189"/>
      <c r="HH119" s="189"/>
      <c r="HI119" s="194"/>
      <c r="HJ119" s="281"/>
      <c r="HK119" s="279"/>
      <c r="HL119" s="279"/>
      <c r="HM119" s="189"/>
      <c r="HN119" s="189"/>
      <c r="HO119" s="189"/>
      <c r="HP119" s="189"/>
      <c r="HQ119" s="194"/>
      <c r="HR119" s="281"/>
      <c r="HS119" s="279"/>
      <c r="HT119" s="279"/>
      <c r="HU119" s="189"/>
      <c r="HV119" s="189"/>
      <c r="HW119" s="189"/>
      <c r="HX119" s="189"/>
      <c r="HY119" s="194"/>
      <c r="HZ119" s="281"/>
      <c r="IA119" s="279"/>
      <c r="IB119" s="279"/>
      <c r="IC119" s="189"/>
      <c r="ID119" s="189"/>
      <c r="IE119" s="189"/>
      <c r="IF119" s="189"/>
      <c r="IG119" s="194"/>
      <c r="IH119" s="281"/>
      <c r="II119" s="279"/>
      <c r="IJ119" s="279"/>
      <c r="IK119" s="189"/>
      <c r="IL119" s="189"/>
      <c r="IM119" s="189"/>
      <c r="IN119" s="189"/>
    </row>
    <row r="120" spans="1:248" s="188" customFormat="1" ht="12.75">
      <c r="A120" s="227"/>
      <c r="B120" s="51" t="s">
        <v>353</v>
      </c>
      <c r="C120" s="212" t="s">
        <v>53</v>
      </c>
      <c r="D120" s="212">
        <v>17.76</v>
      </c>
      <c r="E120" s="215"/>
      <c r="F120" s="215"/>
      <c r="G120" s="261"/>
      <c r="H120" s="260"/>
      <c r="I120" s="212" t="s">
        <v>474</v>
      </c>
      <c r="J120" s="281"/>
      <c r="K120" s="279"/>
      <c r="L120" s="279"/>
      <c r="M120" s="189"/>
      <c r="N120" s="189"/>
      <c r="O120" s="189"/>
      <c r="P120" s="189"/>
      <c r="Q120" s="194"/>
      <c r="R120" s="281"/>
      <c r="S120" s="279"/>
      <c r="T120" s="279"/>
      <c r="U120" s="189"/>
      <c r="V120" s="189"/>
      <c r="W120" s="189"/>
      <c r="X120" s="189"/>
      <c r="Y120" s="194"/>
      <c r="Z120" s="281"/>
      <c r="AA120" s="279"/>
      <c r="AB120" s="279"/>
      <c r="AC120" s="189"/>
      <c r="AD120" s="189"/>
      <c r="AE120" s="189"/>
      <c r="AF120" s="189"/>
      <c r="AG120" s="194"/>
      <c r="AH120" s="281"/>
      <c r="AI120" s="279"/>
      <c r="AJ120" s="279"/>
      <c r="AK120" s="189"/>
      <c r="AL120" s="189"/>
      <c r="AM120" s="189"/>
      <c r="AN120" s="189"/>
      <c r="AO120" s="194"/>
      <c r="AP120" s="281"/>
      <c r="AQ120" s="279"/>
      <c r="AR120" s="279"/>
      <c r="AS120" s="189"/>
      <c r="AT120" s="189"/>
      <c r="AU120" s="189"/>
      <c r="AV120" s="189"/>
      <c r="AW120" s="194"/>
      <c r="AX120" s="281"/>
      <c r="AY120" s="279"/>
      <c r="AZ120" s="279"/>
      <c r="BA120" s="189"/>
      <c r="BB120" s="189"/>
      <c r="BC120" s="189"/>
      <c r="BD120" s="189"/>
      <c r="BE120" s="194"/>
      <c r="BF120" s="281"/>
      <c r="BG120" s="279"/>
      <c r="BH120" s="279"/>
      <c r="BI120" s="189"/>
      <c r="BJ120" s="189"/>
      <c r="BK120" s="189"/>
      <c r="BL120" s="189"/>
      <c r="BM120" s="194"/>
      <c r="BN120" s="281"/>
      <c r="BO120" s="279"/>
      <c r="BP120" s="279"/>
      <c r="BQ120" s="189"/>
      <c r="BR120" s="189"/>
      <c r="BS120" s="189"/>
      <c r="BT120" s="189"/>
      <c r="BU120" s="194"/>
      <c r="BV120" s="281"/>
      <c r="BW120" s="279"/>
      <c r="BX120" s="279"/>
      <c r="BY120" s="189"/>
      <c r="BZ120" s="189"/>
      <c r="CA120" s="189"/>
      <c r="CB120" s="189"/>
      <c r="CC120" s="194"/>
      <c r="CD120" s="281"/>
      <c r="CE120" s="279"/>
      <c r="CF120" s="279"/>
      <c r="CG120" s="189"/>
      <c r="CH120" s="189"/>
      <c r="CI120" s="189"/>
      <c r="CJ120" s="189"/>
      <c r="CK120" s="194"/>
      <c r="CL120" s="281"/>
      <c r="CM120" s="279"/>
      <c r="CN120" s="279"/>
      <c r="CO120" s="189"/>
      <c r="CP120" s="189"/>
      <c r="CQ120" s="189"/>
      <c r="CR120" s="189"/>
      <c r="CS120" s="194"/>
      <c r="CT120" s="281"/>
      <c r="CU120" s="279"/>
      <c r="CV120" s="279"/>
      <c r="CW120" s="189"/>
      <c r="CX120" s="189"/>
      <c r="CY120" s="189"/>
      <c r="CZ120" s="189"/>
      <c r="DA120" s="194"/>
      <c r="DB120" s="281"/>
      <c r="DC120" s="279"/>
      <c r="DD120" s="279"/>
      <c r="DE120" s="189"/>
      <c r="DF120" s="189"/>
      <c r="DG120" s="189"/>
      <c r="DH120" s="189"/>
      <c r="DI120" s="194"/>
      <c r="DJ120" s="281"/>
      <c r="DK120" s="279"/>
      <c r="DL120" s="279"/>
      <c r="DM120" s="189"/>
      <c r="DN120" s="189"/>
      <c r="DO120" s="189"/>
      <c r="DP120" s="189"/>
      <c r="DQ120" s="194"/>
      <c r="DR120" s="281"/>
      <c r="DS120" s="279"/>
      <c r="DT120" s="279"/>
      <c r="DU120" s="189"/>
      <c r="DV120" s="189"/>
      <c r="DW120" s="189"/>
      <c r="DX120" s="189"/>
      <c r="DY120" s="194"/>
      <c r="DZ120" s="281"/>
      <c r="EA120" s="279"/>
      <c r="EB120" s="279"/>
      <c r="EC120" s="189"/>
      <c r="ED120" s="189"/>
      <c r="EE120" s="189"/>
      <c r="EF120" s="189"/>
      <c r="EG120" s="194"/>
      <c r="EH120" s="281"/>
      <c r="EI120" s="279"/>
      <c r="EJ120" s="279"/>
      <c r="EK120" s="189"/>
      <c r="EL120" s="189"/>
      <c r="EM120" s="189"/>
      <c r="EN120" s="189"/>
      <c r="EO120" s="194"/>
      <c r="EP120" s="281"/>
      <c r="EQ120" s="279"/>
      <c r="ER120" s="279"/>
      <c r="ES120" s="189"/>
      <c r="ET120" s="189"/>
      <c r="EU120" s="189"/>
      <c r="EV120" s="189"/>
      <c r="EW120" s="194"/>
      <c r="EX120" s="281"/>
      <c r="EY120" s="279"/>
      <c r="EZ120" s="279"/>
      <c r="FA120" s="189"/>
      <c r="FB120" s="189"/>
      <c r="FC120" s="189"/>
      <c r="FD120" s="189"/>
      <c r="FE120" s="194"/>
      <c r="FF120" s="281"/>
      <c r="FG120" s="279"/>
      <c r="FH120" s="279"/>
      <c r="FI120" s="189"/>
      <c r="FJ120" s="189"/>
      <c r="FK120" s="189"/>
      <c r="FL120" s="189"/>
      <c r="FM120" s="194"/>
      <c r="FN120" s="281"/>
      <c r="FO120" s="279"/>
      <c r="FP120" s="279"/>
      <c r="FQ120" s="189"/>
      <c r="FR120" s="189"/>
      <c r="FS120" s="189"/>
      <c r="FT120" s="189"/>
      <c r="FU120" s="194"/>
      <c r="FV120" s="281"/>
      <c r="FW120" s="279"/>
      <c r="FX120" s="279"/>
      <c r="FY120" s="189"/>
      <c r="FZ120" s="189"/>
      <c r="GA120" s="189"/>
      <c r="GB120" s="189"/>
      <c r="GC120" s="194"/>
      <c r="GD120" s="281"/>
      <c r="GE120" s="279"/>
      <c r="GF120" s="279"/>
      <c r="GG120" s="189"/>
      <c r="GH120" s="189"/>
      <c r="GI120" s="189"/>
      <c r="GJ120" s="189"/>
      <c r="GK120" s="194"/>
      <c r="GL120" s="281"/>
      <c r="GM120" s="279"/>
      <c r="GN120" s="279"/>
      <c r="GO120" s="189"/>
      <c r="GP120" s="189"/>
      <c r="GQ120" s="189"/>
      <c r="GR120" s="189"/>
      <c r="GS120" s="194"/>
      <c r="GT120" s="281"/>
      <c r="GU120" s="279"/>
      <c r="GV120" s="279"/>
      <c r="GW120" s="189"/>
      <c r="GX120" s="189"/>
      <c r="GY120" s="189"/>
      <c r="GZ120" s="189"/>
      <c r="HA120" s="194"/>
      <c r="HB120" s="281"/>
      <c r="HC120" s="279"/>
      <c r="HD120" s="279"/>
      <c r="HE120" s="189"/>
      <c r="HF120" s="189"/>
      <c r="HG120" s="189"/>
      <c r="HH120" s="189"/>
      <c r="HI120" s="194"/>
      <c r="HJ120" s="281"/>
      <c r="HK120" s="279"/>
      <c r="HL120" s="279"/>
      <c r="HM120" s="189"/>
      <c r="HN120" s="189"/>
      <c r="HO120" s="189"/>
      <c r="HP120" s="189"/>
      <c r="HQ120" s="194"/>
      <c r="HR120" s="281"/>
      <c r="HS120" s="279"/>
      <c r="HT120" s="279"/>
      <c r="HU120" s="189"/>
      <c r="HV120" s="189"/>
      <c r="HW120" s="189"/>
      <c r="HX120" s="189"/>
      <c r="HY120" s="194"/>
      <c r="HZ120" s="281"/>
      <c r="IA120" s="279"/>
      <c r="IB120" s="279"/>
      <c r="IC120" s="189"/>
      <c r="ID120" s="189"/>
      <c r="IE120" s="189"/>
      <c r="IF120" s="189"/>
      <c r="IG120" s="194"/>
      <c r="IH120" s="281"/>
      <c r="II120" s="279"/>
      <c r="IJ120" s="279"/>
      <c r="IK120" s="189"/>
      <c r="IL120" s="189"/>
      <c r="IM120" s="189"/>
      <c r="IN120" s="189"/>
    </row>
    <row r="121" spans="1:248" s="188" customFormat="1" ht="12.75">
      <c r="A121" s="227"/>
      <c r="B121" s="51" t="s">
        <v>354</v>
      </c>
      <c r="C121" s="212" t="s">
        <v>53</v>
      </c>
      <c r="D121" s="212">
        <f>0.25+0.24+0.15</f>
        <v>0.64</v>
      </c>
      <c r="E121" s="215"/>
      <c r="F121" s="215"/>
      <c r="G121" s="261"/>
      <c r="H121" s="260"/>
      <c r="I121" s="212" t="s">
        <v>475</v>
      </c>
      <c r="J121" s="281"/>
      <c r="K121" s="279"/>
      <c r="L121" s="279"/>
      <c r="M121" s="189"/>
      <c r="N121" s="189"/>
      <c r="O121" s="189"/>
      <c r="P121" s="189"/>
      <c r="Q121" s="194"/>
      <c r="R121" s="281"/>
      <c r="S121" s="279"/>
      <c r="T121" s="279"/>
      <c r="U121" s="189"/>
      <c r="V121" s="189"/>
      <c r="W121" s="189"/>
      <c r="X121" s="189"/>
      <c r="Y121" s="194"/>
      <c r="Z121" s="281"/>
      <c r="AA121" s="279"/>
      <c r="AB121" s="279"/>
      <c r="AC121" s="189"/>
      <c r="AD121" s="189"/>
      <c r="AE121" s="189"/>
      <c r="AF121" s="189"/>
      <c r="AG121" s="194"/>
      <c r="AH121" s="281"/>
      <c r="AI121" s="279"/>
      <c r="AJ121" s="279"/>
      <c r="AK121" s="189"/>
      <c r="AL121" s="189"/>
      <c r="AM121" s="189"/>
      <c r="AN121" s="189"/>
      <c r="AO121" s="194"/>
      <c r="AP121" s="281"/>
      <c r="AQ121" s="279"/>
      <c r="AR121" s="279"/>
      <c r="AS121" s="189"/>
      <c r="AT121" s="189"/>
      <c r="AU121" s="189"/>
      <c r="AV121" s="189"/>
      <c r="AW121" s="194"/>
      <c r="AX121" s="281"/>
      <c r="AY121" s="279"/>
      <c r="AZ121" s="279"/>
      <c r="BA121" s="189"/>
      <c r="BB121" s="189"/>
      <c r="BC121" s="189"/>
      <c r="BD121" s="189"/>
      <c r="BE121" s="194"/>
      <c r="BF121" s="281"/>
      <c r="BG121" s="279"/>
      <c r="BH121" s="279"/>
      <c r="BI121" s="189"/>
      <c r="BJ121" s="189"/>
      <c r="BK121" s="189"/>
      <c r="BL121" s="189"/>
      <c r="BM121" s="194"/>
      <c r="BN121" s="281"/>
      <c r="BO121" s="279"/>
      <c r="BP121" s="279"/>
      <c r="BQ121" s="189"/>
      <c r="BR121" s="189"/>
      <c r="BS121" s="189"/>
      <c r="BT121" s="189"/>
      <c r="BU121" s="194"/>
      <c r="BV121" s="281"/>
      <c r="BW121" s="279"/>
      <c r="BX121" s="279"/>
      <c r="BY121" s="189"/>
      <c r="BZ121" s="189"/>
      <c r="CA121" s="189"/>
      <c r="CB121" s="189"/>
      <c r="CC121" s="194"/>
      <c r="CD121" s="281"/>
      <c r="CE121" s="279"/>
      <c r="CF121" s="279"/>
      <c r="CG121" s="189"/>
      <c r="CH121" s="189"/>
      <c r="CI121" s="189"/>
      <c r="CJ121" s="189"/>
      <c r="CK121" s="194"/>
      <c r="CL121" s="281"/>
      <c r="CM121" s="279"/>
      <c r="CN121" s="279"/>
      <c r="CO121" s="189"/>
      <c r="CP121" s="189"/>
      <c r="CQ121" s="189"/>
      <c r="CR121" s="189"/>
      <c r="CS121" s="194"/>
      <c r="CT121" s="281"/>
      <c r="CU121" s="279"/>
      <c r="CV121" s="279"/>
      <c r="CW121" s="189"/>
      <c r="CX121" s="189"/>
      <c r="CY121" s="189"/>
      <c r="CZ121" s="189"/>
      <c r="DA121" s="194"/>
      <c r="DB121" s="281"/>
      <c r="DC121" s="279"/>
      <c r="DD121" s="279"/>
      <c r="DE121" s="189"/>
      <c r="DF121" s="189"/>
      <c r="DG121" s="189"/>
      <c r="DH121" s="189"/>
      <c r="DI121" s="194"/>
      <c r="DJ121" s="281"/>
      <c r="DK121" s="279"/>
      <c r="DL121" s="279"/>
      <c r="DM121" s="189"/>
      <c r="DN121" s="189"/>
      <c r="DO121" s="189"/>
      <c r="DP121" s="189"/>
      <c r="DQ121" s="194"/>
      <c r="DR121" s="281"/>
      <c r="DS121" s="279"/>
      <c r="DT121" s="279"/>
      <c r="DU121" s="189"/>
      <c r="DV121" s="189"/>
      <c r="DW121" s="189"/>
      <c r="DX121" s="189"/>
      <c r="DY121" s="194"/>
      <c r="DZ121" s="281"/>
      <c r="EA121" s="279"/>
      <c r="EB121" s="279"/>
      <c r="EC121" s="189"/>
      <c r="ED121" s="189"/>
      <c r="EE121" s="189"/>
      <c r="EF121" s="189"/>
      <c r="EG121" s="194"/>
      <c r="EH121" s="281"/>
      <c r="EI121" s="279"/>
      <c r="EJ121" s="279"/>
      <c r="EK121" s="189"/>
      <c r="EL121" s="189"/>
      <c r="EM121" s="189"/>
      <c r="EN121" s="189"/>
      <c r="EO121" s="194"/>
      <c r="EP121" s="281"/>
      <c r="EQ121" s="279"/>
      <c r="ER121" s="279"/>
      <c r="ES121" s="189"/>
      <c r="ET121" s="189"/>
      <c r="EU121" s="189"/>
      <c r="EV121" s="189"/>
      <c r="EW121" s="194"/>
      <c r="EX121" s="281"/>
      <c r="EY121" s="279"/>
      <c r="EZ121" s="279"/>
      <c r="FA121" s="189"/>
      <c r="FB121" s="189"/>
      <c r="FC121" s="189"/>
      <c r="FD121" s="189"/>
      <c r="FE121" s="194"/>
      <c r="FF121" s="281"/>
      <c r="FG121" s="279"/>
      <c r="FH121" s="279"/>
      <c r="FI121" s="189"/>
      <c r="FJ121" s="189"/>
      <c r="FK121" s="189"/>
      <c r="FL121" s="189"/>
      <c r="FM121" s="194"/>
      <c r="FN121" s="281"/>
      <c r="FO121" s="279"/>
      <c r="FP121" s="279"/>
      <c r="FQ121" s="189"/>
      <c r="FR121" s="189"/>
      <c r="FS121" s="189"/>
      <c r="FT121" s="189"/>
      <c r="FU121" s="194"/>
      <c r="FV121" s="281"/>
      <c r="FW121" s="279"/>
      <c r="FX121" s="279"/>
      <c r="FY121" s="189"/>
      <c r="FZ121" s="189"/>
      <c r="GA121" s="189"/>
      <c r="GB121" s="189"/>
      <c r="GC121" s="194"/>
      <c r="GD121" s="281"/>
      <c r="GE121" s="279"/>
      <c r="GF121" s="279"/>
      <c r="GG121" s="189"/>
      <c r="GH121" s="189"/>
      <c r="GI121" s="189"/>
      <c r="GJ121" s="189"/>
      <c r="GK121" s="194"/>
      <c r="GL121" s="281"/>
      <c r="GM121" s="279"/>
      <c r="GN121" s="279"/>
      <c r="GO121" s="189"/>
      <c r="GP121" s="189"/>
      <c r="GQ121" s="189"/>
      <c r="GR121" s="189"/>
      <c r="GS121" s="194"/>
      <c r="GT121" s="281"/>
      <c r="GU121" s="279"/>
      <c r="GV121" s="279"/>
      <c r="GW121" s="189"/>
      <c r="GX121" s="189"/>
      <c r="GY121" s="189"/>
      <c r="GZ121" s="189"/>
      <c r="HA121" s="194"/>
      <c r="HB121" s="281"/>
      <c r="HC121" s="279"/>
      <c r="HD121" s="279"/>
      <c r="HE121" s="189"/>
      <c r="HF121" s="189"/>
      <c r="HG121" s="189"/>
      <c r="HH121" s="189"/>
      <c r="HI121" s="194"/>
      <c r="HJ121" s="281"/>
      <c r="HK121" s="279"/>
      <c r="HL121" s="279"/>
      <c r="HM121" s="189"/>
      <c r="HN121" s="189"/>
      <c r="HO121" s="189"/>
      <c r="HP121" s="189"/>
      <c r="HQ121" s="194"/>
      <c r="HR121" s="281"/>
      <c r="HS121" s="279"/>
      <c r="HT121" s="279"/>
      <c r="HU121" s="189"/>
      <c r="HV121" s="189"/>
      <c r="HW121" s="189"/>
      <c r="HX121" s="189"/>
      <c r="HY121" s="194"/>
      <c r="HZ121" s="281"/>
      <c r="IA121" s="279"/>
      <c r="IB121" s="279"/>
      <c r="IC121" s="189"/>
      <c r="ID121" s="189"/>
      <c r="IE121" s="189"/>
      <c r="IF121" s="189"/>
      <c r="IG121" s="194"/>
      <c r="IH121" s="281"/>
      <c r="II121" s="279"/>
      <c r="IJ121" s="279"/>
      <c r="IK121" s="189"/>
      <c r="IL121" s="189"/>
      <c r="IM121" s="189"/>
      <c r="IN121" s="189"/>
    </row>
    <row r="122" spans="1:248" s="188" customFormat="1" ht="12.75">
      <c r="A122" s="227">
        <v>2</v>
      </c>
      <c r="B122" s="47" t="s">
        <v>228</v>
      </c>
      <c r="C122" s="212"/>
      <c r="D122" s="212"/>
      <c r="E122" s="215"/>
      <c r="F122" s="215"/>
      <c r="G122" s="207"/>
      <c r="H122" s="207">
        <f>H124+H125+H123+H127</f>
        <v>332000</v>
      </c>
      <c r="I122" s="227"/>
      <c r="J122" s="281"/>
      <c r="K122" s="279"/>
      <c r="L122" s="279"/>
      <c r="M122" s="189"/>
      <c r="N122" s="189"/>
      <c r="O122" s="189"/>
      <c r="P122" s="189"/>
      <c r="Q122" s="194"/>
      <c r="R122" s="281"/>
      <c r="S122" s="279"/>
      <c r="T122" s="279"/>
      <c r="U122" s="189"/>
      <c r="V122" s="189"/>
      <c r="W122" s="189"/>
      <c r="X122" s="189"/>
      <c r="Y122" s="194"/>
      <c r="Z122" s="281"/>
      <c r="AA122" s="279"/>
      <c r="AB122" s="279"/>
      <c r="AC122" s="189"/>
      <c r="AD122" s="189"/>
      <c r="AE122" s="189"/>
      <c r="AF122" s="189"/>
      <c r="AG122" s="194"/>
      <c r="AH122" s="281"/>
      <c r="AI122" s="279"/>
      <c r="AJ122" s="279"/>
      <c r="AK122" s="189"/>
      <c r="AL122" s="189"/>
      <c r="AM122" s="189"/>
      <c r="AN122" s="189"/>
      <c r="AO122" s="194"/>
      <c r="AP122" s="281"/>
      <c r="AQ122" s="279"/>
      <c r="AR122" s="279"/>
      <c r="AS122" s="189"/>
      <c r="AT122" s="189"/>
      <c r="AU122" s="189"/>
      <c r="AV122" s="189"/>
      <c r="AW122" s="194"/>
      <c r="AX122" s="281"/>
      <c r="AY122" s="279"/>
      <c r="AZ122" s="279"/>
      <c r="BA122" s="189"/>
      <c r="BB122" s="189"/>
      <c r="BC122" s="189"/>
      <c r="BD122" s="189"/>
      <c r="BE122" s="194"/>
      <c r="BF122" s="281"/>
      <c r="BG122" s="279"/>
      <c r="BH122" s="279"/>
      <c r="BI122" s="189"/>
      <c r="BJ122" s="189"/>
      <c r="BK122" s="189"/>
      <c r="BL122" s="189"/>
      <c r="BM122" s="194"/>
      <c r="BN122" s="281"/>
      <c r="BO122" s="279"/>
      <c r="BP122" s="279"/>
      <c r="BQ122" s="189"/>
      <c r="BR122" s="189"/>
      <c r="BS122" s="189"/>
      <c r="BT122" s="189"/>
      <c r="BU122" s="194"/>
      <c r="BV122" s="281"/>
      <c r="BW122" s="279"/>
      <c r="BX122" s="279"/>
      <c r="BY122" s="189"/>
      <c r="BZ122" s="189"/>
      <c r="CA122" s="189"/>
      <c r="CB122" s="189"/>
      <c r="CC122" s="194"/>
      <c r="CD122" s="281"/>
      <c r="CE122" s="279"/>
      <c r="CF122" s="279"/>
      <c r="CG122" s="189"/>
      <c r="CH122" s="189"/>
      <c r="CI122" s="189"/>
      <c r="CJ122" s="189"/>
      <c r="CK122" s="194"/>
      <c r="CL122" s="281"/>
      <c r="CM122" s="279"/>
      <c r="CN122" s="279"/>
      <c r="CO122" s="189"/>
      <c r="CP122" s="189"/>
      <c r="CQ122" s="189"/>
      <c r="CR122" s="189"/>
      <c r="CS122" s="194"/>
      <c r="CT122" s="281"/>
      <c r="CU122" s="279"/>
      <c r="CV122" s="279"/>
      <c r="CW122" s="189"/>
      <c r="CX122" s="189"/>
      <c r="CY122" s="189"/>
      <c r="CZ122" s="189"/>
      <c r="DA122" s="194"/>
      <c r="DB122" s="281"/>
      <c r="DC122" s="279"/>
      <c r="DD122" s="279"/>
      <c r="DE122" s="189"/>
      <c r="DF122" s="189"/>
      <c r="DG122" s="189"/>
      <c r="DH122" s="189"/>
      <c r="DI122" s="194"/>
      <c r="DJ122" s="281"/>
      <c r="DK122" s="279"/>
      <c r="DL122" s="279"/>
      <c r="DM122" s="189"/>
      <c r="DN122" s="189"/>
      <c r="DO122" s="189"/>
      <c r="DP122" s="189"/>
      <c r="DQ122" s="194"/>
      <c r="DR122" s="281"/>
      <c r="DS122" s="279"/>
      <c r="DT122" s="279"/>
      <c r="DU122" s="189"/>
      <c r="DV122" s="189"/>
      <c r="DW122" s="189"/>
      <c r="DX122" s="189"/>
      <c r="DY122" s="194"/>
      <c r="DZ122" s="281"/>
      <c r="EA122" s="279"/>
      <c r="EB122" s="279"/>
      <c r="EC122" s="189"/>
      <c r="ED122" s="189"/>
      <c r="EE122" s="189"/>
      <c r="EF122" s="189"/>
      <c r="EG122" s="194"/>
      <c r="EH122" s="281"/>
      <c r="EI122" s="279"/>
      <c r="EJ122" s="279"/>
      <c r="EK122" s="189"/>
      <c r="EL122" s="189"/>
      <c r="EM122" s="189"/>
      <c r="EN122" s="189"/>
      <c r="EO122" s="194"/>
      <c r="EP122" s="281"/>
      <c r="EQ122" s="279"/>
      <c r="ER122" s="279"/>
      <c r="ES122" s="189"/>
      <c r="ET122" s="189"/>
      <c r="EU122" s="189"/>
      <c r="EV122" s="189"/>
      <c r="EW122" s="194"/>
      <c r="EX122" s="281"/>
      <c r="EY122" s="279"/>
      <c r="EZ122" s="279"/>
      <c r="FA122" s="189"/>
      <c r="FB122" s="189"/>
      <c r="FC122" s="189"/>
      <c r="FD122" s="189"/>
      <c r="FE122" s="194"/>
      <c r="FF122" s="281"/>
      <c r="FG122" s="279"/>
      <c r="FH122" s="279"/>
      <c r="FI122" s="189"/>
      <c r="FJ122" s="189"/>
      <c r="FK122" s="189"/>
      <c r="FL122" s="189"/>
      <c r="FM122" s="194"/>
      <c r="FN122" s="281"/>
      <c r="FO122" s="279"/>
      <c r="FP122" s="279"/>
      <c r="FQ122" s="189"/>
      <c r="FR122" s="189"/>
      <c r="FS122" s="189"/>
      <c r="FT122" s="189"/>
      <c r="FU122" s="194"/>
      <c r="FV122" s="281"/>
      <c r="FW122" s="279"/>
      <c r="FX122" s="279"/>
      <c r="FY122" s="189"/>
      <c r="FZ122" s="189"/>
      <c r="GA122" s="189"/>
      <c r="GB122" s="189"/>
      <c r="GC122" s="194"/>
      <c r="GD122" s="281"/>
      <c r="GE122" s="279"/>
      <c r="GF122" s="279"/>
      <c r="GG122" s="189"/>
      <c r="GH122" s="189"/>
      <c r="GI122" s="189"/>
      <c r="GJ122" s="189"/>
      <c r="GK122" s="194"/>
      <c r="GL122" s="281"/>
      <c r="GM122" s="279"/>
      <c r="GN122" s="279"/>
      <c r="GO122" s="189"/>
      <c r="GP122" s="189"/>
      <c r="GQ122" s="189"/>
      <c r="GR122" s="189"/>
      <c r="GS122" s="194"/>
      <c r="GT122" s="281"/>
      <c r="GU122" s="279"/>
      <c r="GV122" s="279"/>
      <c r="GW122" s="189"/>
      <c r="GX122" s="189"/>
      <c r="GY122" s="189"/>
      <c r="GZ122" s="189"/>
      <c r="HA122" s="194"/>
      <c r="HB122" s="281"/>
      <c r="HC122" s="279"/>
      <c r="HD122" s="279"/>
      <c r="HE122" s="189"/>
      <c r="HF122" s="189"/>
      <c r="HG122" s="189"/>
      <c r="HH122" s="189"/>
      <c r="HI122" s="194"/>
      <c r="HJ122" s="281"/>
      <c r="HK122" s="279"/>
      <c r="HL122" s="279"/>
      <c r="HM122" s="189"/>
      <c r="HN122" s="189"/>
      <c r="HO122" s="189"/>
      <c r="HP122" s="189"/>
      <c r="HQ122" s="194"/>
      <c r="HR122" s="281"/>
      <c r="HS122" s="279"/>
      <c r="HT122" s="279"/>
      <c r="HU122" s="189"/>
      <c r="HV122" s="189"/>
      <c r="HW122" s="189"/>
      <c r="HX122" s="189"/>
      <c r="HY122" s="194"/>
      <c r="HZ122" s="281"/>
      <c r="IA122" s="279"/>
      <c r="IB122" s="279"/>
      <c r="IC122" s="189"/>
      <c r="ID122" s="189"/>
      <c r="IE122" s="189"/>
      <c r="IF122" s="189"/>
      <c r="IG122" s="194"/>
      <c r="IH122" s="281"/>
      <c r="II122" s="279"/>
      <c r="IJ122" s="279"/>
      <c r="IK122" s="189"/>
      <c r="IL122" s="189"/>
      <c r="IM122" s="189"/>
      <c r="IN122" s="189"/>
    </row>
    <row r="123" spans="1:248" s="188" customFormat="1" ht="12.75">
      <c r="A123" s="227">
        <v>1</v>
      </c>
      <c r="B123" s="283" t="s">
        <v>557</v>
      </c>
      <c r="C123" s="212"/>
      <c r="D123" s="212"/>
      <c r="E123" s="215"/>
      <c r="F123" s="215"/>
      <c r="G123" s="207"/>
      <c r="H123" s="218">
        <v>3000</v>
      </c>
      <c r="I123" s="227"/>
      <c r="J123" s="281"/>
      <c r="K123" s="279"/>
      <c r="L123" s="279"/>
      <c r="M123" s="189"/>
      <c r="N123" s="189"/>
      <c r="O123" s="189"/>
      <c r="P123" s="189"/>
      <c r="Q123" s="194"/>
      <c r="R123" s="281"/>
      <c r="S123" s="279"/>
      <c r="T123" s="279"/>
      <c r="U123" s="189"/>
      <c r="V123" s="189"/>
      <c r="W123" s="189"/>
      <c r="X123" s="189"/>
      <c r="Y123" s="194"/>
      <c r="Z123" s="281"/>
      <c r="AA123" s="279"/>
      <c r="AB123" s="279"/>
      <c r="AC123" s="189"/>
      <c r="AD123" s="189"/>
      <c r="AE123" s="189"/>
      <c r="AF123" s="189"/>
      <c r="AG123" s="194"/>
      <c r="AH123" s="281"/>
      <c r="AI123" s="279"/>
      <c r="AJ123" s="279"/>
      <c r="AK123" s="189"/>
      <c r="AL123" s="189"/>
      <c r="AM123" s="189"/>
      <c r="AN123" s="189"/>
      <c r="AO123" s="194"/>
      <c r="AP123" s="281"/>
      <c r="AQ123" s="279"/>
      <c r="AR123" s="279"/>
      <c r="AS123" s="189"/>
      <c r="AT123" s="189"/>
      <c r="AU123" s="189"/>
      <c r="AV123" s="189"/>
      <c r="AW123" s="194"/>
      <c r="AX123" s="281"/>
      <c r="AY123" s="279"/>
      <c r="AZ123" s="279"/>
      <c r="BA123" s="189"/>
      <c r="BB123" s="189"/>
      <c r="BC123" s="189"/>
      <c r="BD123" s="189"/>
      <c r="BE123" s="194"/>
      <c r="BF123" s="281"/>
      <c r="BG123" s="279"/>
      <c r="BH123" s="279"/>
      <c r="BI123" s="189"/>
      <c r="BJ123" s="189"/>
      <c r="BK123" s="189"/>
      <c r="BL123" s="189"/>
      <c r="BM123" s="194"/>
      <c r="BN123" s="281"/>
      <c r="BO123" s="279"/>
      <c r="BP123" s="279"/>
      <c r="BQ123" s="189"/>
      <c r="BR123" s="189"/>
      <c r="BS123" s="189"/>
      <c r="BT123" s="189"/>
      <c r="BU123" s="194"/>
      <c r="BV123" s="281"/>
      <c r="BW123" s="279"/>
      <c r="BX123" s="279"/>
      <c r="BY123" s="189"/>
      <c r="BZ123" s="189"/>
      <c r="CA123" s="189"/>
      <c r="CB123" s="189"/>
      <c r="CC123" s="194"/>
      <c r="CD123" s="281"/>
      <c r="CE123" s="279"/>
      <c r="CF123" s="279"/>
      <c r="CG123" s="189"/>
      <c r="CH123" s="189"/>
      <c r="CI123" s="189"/>
      <c r="CJ123" s="189"/>
      <c r="CK123" s="194"/>
      <c r="CL123" s="281"/>
      <c r="CM123" s="279"/>
      <c r="CN123" s="279"/>
      <c r="CO123" s="189"/>
      <c r="CP123" s="189"/>
      <c r="CQ123" s="189"/>
      <c r="CR123" s="189"/>
      <c r="CS123" s="194"/>
      <c r="CT123" s="281"/>
      <c r="CU123" s="279"/>
      <c r="CV123" s="279"/>
      <c r="CW123" s="189"/>
      <c r="CX123" s="189"/>
      <c r="CY123" s="189"/>
      <c r="CZ123" s="189"/>
      <c r="DA123" s="194"/>
      <c r="DB123" s="281"/>
      <c r="DC123" s="279"/>
      <c r="DD123" s="279"/>
      <c r="DE123" s="189"/>
      <c r="DF123" s="189"/>
      <c r="DG123" s="189"/>
      <c r="DH123" s="189"/>
      <c r="DI123" s="194"/>
      <c r="DJ123" s="281"/>
      <c r="DK123" s="279"/>
      <c r="DL123" s="279"/>
      <c r="DM123" s="189"/>
      <c r="DN123" s="189"/>
      <c r="DO123" s="189"/>
      <c r="DP123" s="189"/>
      <c r="DQ123" s="194"/>
      <c r="DR123" s="281"/>
      <c r="DS123" s="279"/>
      <c r="DT123" s="279"/>
      <c r="DU123" s="189"/>
      <c r="DV123" s="189"/>
      <c r="DW123" s="189"/>
      <c r="DX123" s="189"/>
      <c r="DY123" s="194"/>
      <c r="DZ123" s="281"/>
      <c r="EA123" s="279"/>
      <c r="EB123" s="279"/>
      <c r="EC123" s="189"/>
      <c r="ED123" s="189"/>
      <c r="EE123" s="189"/>
      <c r="EF123" s="189"/>
      <c r="EG123" s="194"/>
      <c r="EH123" s="281"/>
      <c r="EI123" s="279"/>
      <c r="EJ123" s="279"/>
      <c r="EK123" s="189"/>
      <c r="EL123" s="189"/>
      <c r="EM123" s="189"/>
      <c r="EN123" s="189"/>
      <c r="EO123" s="194"/>
      <c r="EP123" s="281"/>
      <c r="EQ123" s="279"/>
      <c r="ER123" s="279"/>
      <c r="ES123" s="189"/>
      <c r="ET123" s="189"/>
      <c r="EU123" s="189"/>
      <c r="EV123" s="189"/>
      <c r="EW123" s="194"/>
      <c r="EX123" s="281"/>
      <c r="EY123" s="279"/>
      <c r="EZ123" s="279"/>
      <c r="FA123" s="189"/>
      <c r="FB123" s="189"/>
      <c r="FC123" s="189"/>
      <c r="FD123" s="189"/>
      <c r="FE123" s="194"/>
      <c r="FF123" s="281"/>
      <c r="FG123" s="279"/>
      <c r="FH123" s="279"/>
      <c r="FI123" s="189"/>
      <c r="FJ123" s="189"/>
      <c r="FK123" s="189"/>
      <c r="FL123" s="189"/>
      <c r="FM123" s="194"/>
      <c r="FN123" s="281"/>
      <c r="FO123" s="279"/>
      <c r="FP123" s="279"/>
      <c r="FQ123" s="189"/>
      <c r="FR123" s="189"/>
      <c r="FS123" s="189"/>
      <c r="FT123" s="189"/>
      <c r="FU123" s="194"/>
      <c r="FV123" s="281"/>
      <c r="FW123" s="279"/>
      <c r="FX123" s="279"/>
      <c r="FY123" s="189"/>
      <c r="FZ123" s="189"/>
      <c r="GA123" s="189"/>
      <c r="GB123" s="189"/>
      <c r="GC123" s="194"/>
      <c r="GD123" s="281"/>
      <c r="GE123" s="279"/>
      <c r="GF123" s="279"/>
      <c r="GG123" s="189"/>
      <c r="GH123" s="189"/>
      <c r="GI123" s="189"/>
      <c r="GJ123" s="189"/>
      <c r="GK123" s="194"/>
      <c r="GL123" s="281"/>
      <c r="GM123" s="279"/>
      <c r="GN123" s="279"/>
      <c r="GO123" s="189"/>
      <c r="GP123" s="189"/>
      <c r="GQ123" s="189"/>
      <c r="GR123" s="189"/>
      <c r="GS123" s="194"/>
      <c r="GT123" s="281"/>
      <c r="GU123" s="279"/>
      <c r="GV123" s="279"/>
      <c r="GW123" s="189"/>
      <c r="GX123" s="189"/>
      <c r="GY123" s="189"/>
      <c r="GZ123" s="189"/>
      <c r="HA123" s="194"/>
      <c r="HB123" s="281"/>
      <c r="HC123" s="279"/>
      <c r="HD123" s="279"/>
      <c r="HE123" s="189"/>
      <c r="HF123" s="189"/>
      <c r="HG123" s="189"/>
      <c r="HH123" s="189"/>
      <c r="HI123" s="194"/>
      <c r="HJ123" s="281"/>
      <c r="HK123" s="279"/>
      <c r="HL123" s="279"/>
      <c r="HM123" s="189"/>
      <c r="HN123" s="189"/>
      <c r="HO123" s="189"/>
      <c r="HP123" s="189"/>
      <c r="HQ123" s="194"/>
      <c r="HR123" s="281"/>
      <c r="HS123" s="279"/>
      <c r="HT123" s="279"/>
      <c r="HU123" s="189"/>
      <c r="HV123" s="189"/>
      <c r="HW123" s="189"/>
      <c r="HX123" s="189"/>
      <c r="HY123" s="194"/>
      <c r="HZ123" s="281"/>
      <c r="IA123" s="279"/>
      <c r="IB123" s="279"/>
      <c r="IC123" s="189"/>
      <c r="ID123" s="189"/>
      <c r="IE123" s="189"/>
      <c r="IF123" s="189"/>
      <c r="IG123" s="194"/>
      <c r="IH123" s="281"/>
      <c r="II123" s="279"/>
      <c r="IJ123" s="279"/>
      <c r="IK123" s="189"/>
      <c r="IL123" s="189"/>
      <c r="IM123" s="189"/>
      <c r="IN123" s="189"/>
    </row>
    <row r="124" spans="1:248" s="188" customFormat="1" ht="12.75">
      <c r="A124" s="227">
        <v>2</v>
      </c>
      <c r="B124" s="244" t="s">
        <v>67</v>
      </c>
      <c r="C124" s="212"/>
      <c r="D124" s="212"/>
      <c r="E124" s="215"/>
      <c r="F124" s="215"/>
      <c r="G124" s="260"/>
      <c r="H124" s="223">
        <v>150000</v>
      </c>
      <c r="I124" s="227"/>
      <c r="J124" s="281"/>
      <c r="K124" s="279"/>
      <c r="L124" s="279"/>
      <c r="M124" s="189"/>
      <c r="N124" s="189"/>
      <c r="O124" s="189"/>
      <c r="P124" s="189"/>
      <c r="Q124" s="194"/>
      <c r="R124" s="281"/>
      <c r="S124" s="279"/>
      <c r="T124" s="279"/>
      <c r="U124" s="189"/>
      <c r="V124" s="189"/>
      <c r="W124" s="189"/>
      <c r="X124" s="189"/>
      <c r="Y124" s="194"/>
      <c r="Z124" s="281"/>
      <c r="AA124" s="279"/>
      <c r="AB124" s="279"/>
      <c r="AC124" s="189"/>
      <c r="AD124" s="189"/>
      <c r="AE124" s="189"/>
      <c r="AF124" s="189"/>
      <c r="AG124" s="194"/>
      <c r="AH124" s="281"/>
      <c r="AI124" s="279"/>
      <c r="AJ124" s="279"/>
      <c r="AK124" s="189"/>
      <c r="AL124" s="189"/>
      <c r="AM124" s="189"/>
      <c r="AN124" s="189"/>
      <c r="AO124" s="194"/>
      <c r="AP124" s="281"/>
      <c r="AQ124" s="279"/>
      <c r="AR124" s="279"/>
      <c r="AS124" s="189"/>
      <c r="AT124" s="189"/>
      <c r="AU124" s="189"/>
      <c r="AV124" s="189"/>
      <c r="AW124" s="194"/>
      <c r="AX124" s="281"/>
      <c r="AY124" s="279"/>
      <c r="AZ124" s="279"/>
      <c r="BA124" s="189"/>
      <c r="BB124" s="189"/>
      <c r="BC124" s="189"/>
      <c r="BD124" s="189"/>
      <c r="BE124" s="194"/>
      <c r="BF124" s="281"/>
      <c r="BG124" s="279"/>
      <c r="BH124" s="279"/>
      <c r="BI124" s="189"/>
      <c r="BJ124" s="189"/>
      <c r="BK124" s="189"/>
      <c r="BL124" s="189"/>
      <c r="BM124" s="194"/>
      <c r="BN124" s="281"/>
      <c r="BO124" s="279"/>
      <c r="BP124" s="279"/>
      <c r="BQ124" s="189"/>
      <c r="BR124" s="189"/>
      <c r="BS124" s="189"/>
      <c r="BT124" s="189"/>
      <c r="BU124" s="194"/>
      <c r="BV124" s="281"/>
      <c r="BW124" s="279"/>
      <c r="BX124" s="279"/>
      <c r="BY124" s="189"/>
      <c r="BZ124" s="189"/>
      <c r="CA124" s="189"/>
      <c r="CB124" s="189"/>
      <c r="CC124" s="194"/>
      <c r="CD124" s="281"/>
      <c r="CE124" s="279"/>
      <c r="CF124" s="279"/>
      <c r="CG124" s="189"/>
      <c r="CH124" s="189"/>
      <c r="CI124" s="189"/>
      <c r="CJ124" s="189"/>
      <c r="CK124" s="194"/>
      <c r="CL124" s="281"/>
      <c r="CM124" s="279"/>
      <c r="CN124" s="279"/>
      <c r="CO124" s="189"/>
      <c r="CP124" s="189"/>
      <c r="CQ124" s="189"/>
      <c r="CR124" s="189"/>
      <c r="CS124" s="194"/>
      <c r="CT124" s="281"/>
      <c r="CU124" s="279"/>
      <c r="CV124" s="279"/>
      <c r="CW124" s="189"/>
      <c r="CX124" s="189"/>
      <c r="CY124" s="189"/>
      <c r="CZ124" s="189"/>
      <c r="DA124" s="194"/>
      <c r="DB124" s="281"/>
      <c r="DC124" s="279"/>
      <c r="DD124" s="279"/>
      <c r="DE124" s="189"/>
      <c r="DF124" s="189"/>
      <c r="DG124" s="189"/>
      <c r="DH124" s="189"/>
      <c r="DI124" s="194"/>
      <c r="DJ124" s="281"/>
      <c r="DK124" s="279"/>
      <c r="DL124" s="279"/>
      <c r="DM124" s="189"/>
      <c r="DN124" s="189"/>
      <c r="DO124" s="189"/>
      <c r="DP124" s="189"/>
      <c r="DQ124" s="194"/>
      <c r="DR124" s="281"/>
      <c r="DS124" s="279"/>
      <c r="DT124" s="279"/>
      <c r="DU124" s="189"/>
      <c r="DV124" s="189"/>
      <c r="DW124" s="189"/>
      <c r="DX124" s="189"/>
      <c r="DY124" s="194"/>
      <c r="DZ124" s="281"/>
      <c r="EA124" s="279"/>
      <c r="EB124" s="279"/>
      <c r="EC124" s="189"/>
      <c r="ED124" s="189"/>
      <c r="EE124" s="189"/>
      <c r="EF124" s="189"/>
      <c r="EG124" s="194"/>
      <c r="EH124" s="281"/>
      <c r="EI124" s="279"/>
      <c r="EJ124" s="279"/>
      <c r="EK124" s="189"/>
      <c r="EL124" s="189"/>
      <c r="EM124" s="189"/>
      <c r="EN124" s="189"/>
      <c r="EO124" s="194"/>
      <c r="EP124" s="281"/>
      <c r="EQ124" s="279"/>
      <c r="ER124" s="279"/>
      <c r="ES124" s="189"/>
      <c r="ET124" s="189"/>
      <c r="EU124" s="189"/>
      <c r="EV124" s="189"/>
      <c r="EW124" s="194"/>
      <c r="EX124" s="281"/>
      <c r="EY124" s="279"/>
      <c r="EZ124" s="279"/>
      <c r="FA124" s="189"/>
      <c r="FB124" s="189"/>
      <c r="FC124" s="189"/>
      <c r="FD124" s="189"/>
      <c r="FE124" s="194"/>
      <c r="FF124" s="281"/>
      <c r="FG124" s="279"/>
      <c r="FH124" s="279"/>
      <c r="FI124" s="189"/>
      <c r="FJ124" s="189"/>
      <c r="FK124" s="189"/>
      <c r="FL124" s="189"/>
      <c r="FM124" s="194"/>
      <c r="FN124" s="281"/>
      <c r="FO124" s="279"/>
      <c r="FP124" s="279"/>
      <c r="FQ124" s="189"/>
      <c r="FR124" s="189"/>
      <c r="FS124" s="189"/>
      <c r="FT124" s="189"/>
      <c r="FU124" s="194"/>
      <c r="FV124" s="281"/>
      <c r="FW124" s="279"/>
      <c r="FX124" s="279"/>
      <c r="FY124" s="189"/>
      <c r="FZ124" s="189"/>
      <c r="GA124" s="189"/>
      <c r="GB124" s="189"/>
      <c r="GC124" s="194"/>
      <c r="GD124" s="281"/>
      <c r="GE124" s="279"/>
      <c r="GF124" s="279"/>
      <c r="GG124" s="189"/>
      <c r="GH124" s="189"/>
      <c r="GI124" s="189"/>
      <c r="GJ124" s="189"/>
      <c r="GK124" s="194"/>
      <c r="GL124" s="281"/>
      <c r="GM124" s="279"/>
      <c r="GN124" s="279"/>
      <c r="GO124" s="189"/>
      <c r="GP124" s="189"/>
      <c r="GQ124" s="189"/>
      <c r="GR124" s="189"/>
      <c r="GS124" s="194"/>
      <c r="GT124" s="281"/>
      <c r="GU124" s="279"/>
      <c r="GV124" s="279"/>
      <c r="GW124" s="189"/>
      <c r="GX124" s="189"/>
      <c r="GY124" s="189"/>
      <c r="GZ124" s="189"/>
      <c r="HA124" s="194"/>
      <c r="HB124" s="281"/>
      <c r="HC124" s="279"/>
      <c r="HD124" s="279"/>
      <c r="HE124" s="189"/>
      <c r="HF124" s="189"/>
      <c r="HG124" s="189"/>
      <c r="HH124" s="189"/>
      <c r="HI124" s="194"/>
      <c r="HJ124" s="281"/>
      <c r="HK124" s="279"/>
      <c r="HL124" s="279"/>
      <c r="HM124" s="189"/>
      <c r="HN124" s="189"/>
      <c r="HO124" s="189"/>
      <c r="HP124" s="189"/>
      <c r="HQ124" s="194"/>
      <c r="HR124" s="281"/>
      <c r="HS124" s="279"/>
      <c r="HT124" s="279"/>
      <c r="HU124" s="189"/>
      <c r="HV124" s="189"/>
      <c r="HW124" s="189"/>
      <c r="HX124" s="189"/>
      <c r="HY124" s="194"/>
      <c r="HZ124" s="281"/>
      <c r="IA124" s="279"/>
      <c r="IB124" s="279"/>
      <c r="IC124" s="189"/>
      <c r="ID124" s="189"/>
      <c r="IE124" s="189"/>
      <c r="IF124" s="189"/>
      <c r="IG124" s="194"/>
      <c r="IH124" s="281"/>
      <c r="II124" s="279"/>
      <c r="IJ124" s="279"/>
      <c r="IK124" s="189"/>
      <c r="IL124" s="189"/>
      <c r="IM124" s="189"/>
      <c r="IN124" s="189"/>
    </row>
    <row r="125" spans="1:248" s="188" customFormat="1" ht="12.75">
      <c r="A125" s="227">
        <v>3</v>
      </c>
      <c r="B125" s="51" t="s">
        <v>230</v>
      </c>
      <c r="C125" s="212"/>
      <c r="D125" s="212"/>
      <c r="E125" s="215"/>
      <c r="F125" s="215"/>
      <c r="G125" s="260"/>
      <c r="H125" s="223">
        <v>150000</v>
      </c>
      <c r="I125" s="227"/>
      <c r="J125" s="281"/>
      <c r="K125" s="279"/>
      <c r="L125" s="279"/>
      <c r="M125" s="189"/>
      <c r="N125" s="189"/>
      <c r="O125" s="189"/>
      <c r="P125" s="189"/>
      <c r="Q125" s="194"/>
      <c r="R125" s="281"/>
      <c r="S125" s="279"/>
      <c r="T125" s="279"/>
      <c r="U125" s="189"/>
      <c r="V125" s="189"/>
      <c r="W125" s="189"/>
      <c r="X125" s="189"/>
      <c r="Y125" s="194"/>
      <c r="Z125" s="281"/>
      <c r="AA125" s="279"/>
      <c r="AB125" s="279"/>
      <c r="AC125" s="189"/>
      <c r="AD125" s="189"/>
      <c r="AE125" s="189"/>
      <c r="AF125" s="189"/>
      <c r="AG125" s="194"/>
      <c r="AH125" s="281"/>
      <c r="AI125" s="279"/>
      <c r="AJ125" s="279"/>
      <c r="AK125" s="189"/>
      <c r="AL125" s="189"/>
      <c r="AM125" s="189"/>
      <c r="AN125" s="189"/>
      <c r="AO125" s="194"/>
      <c r="AP125" s="281"/>
      <c r="AQ125" s="279"/>
      <c r="AR125" s="279"/>
      <c r="AS125" s="189"/>
      <c r="AT125" s="189"/>
      <c r="AU125" s="189"/>
      <c r="AV125" s="189"/>
      <c r="AW125" s="194"/>
      <c r="AX125" s="281"/>
      <c r="AY125" s="279"/>
      <c r="AZ125" s="279"/>
      <c r="BA125" s="189"/>
      <c r="BB125" s="189"/>
      <c r="BC125" s="189"/>
      <c r="BD125" s="189"/>
      <c r="BE125" s="194"/>
      <c r="BF125" s="281"/>
      <c r="BG125" s="279"/>
      <c r="BH125" s="279"/>
      <c r="BI125" s="189"/>
      <c r="BJ125" s="189"/>
      <c r="BK125" s="189"/>
      <c r="BL125" s="189"/>
      <c r="BM125" s="194"/>
      <c r="BN125" s="281"/>
      <c r="BO125" s="279"/>
      <c r="BP125" s="279"/>
      <c r="BQ125" s="189"/>
      <c r="BR125" s="189"/>
      <c r="BS125" s="189"/>
      <c r="BT125" s="189"/>
      <c r="BU125" s="194"/>
      <c r="BV125" s="281"/>
      <c r="BW125" s="279"/>
      <c r="BX125" s="279"/>
      <c r="BY125" s="189"/>
      <c r="BZ125" s="189"/>
      <c r="CA125" s="189"/>
      <c r="CB125" s="189"/>
      <c r="CC125" s="194"/>
      <c r="CD125" s="281"/>
      <c r="CE125" s="279"/>
      <c r="CF125" s="279"/>
      <c r="CG125" s="189"/>
      <c r="CH125" s="189"/>
      <c r="CI125" s="189"/>
      <c r="CJ125" s="189"/>
      <c r="CK125" s="194"/>
      <c r="CL125" s="281"/>
      <c r="CM125" s="279"/>
      <c r="CN125" s="279"/>
      <c r="CO125" s="189"/>
      <c r="CP125" s="189"/>
      <c r="CQ125" s="189"/>
      <c r="CR125" s="189"/>
      <c r="CS125" s="194"/>
      <c r="CT125" s="281"/>
      <c r="CU125" s="279"/>
      <c r="CV125" s="279"/>
      <c r="CW125" s="189"/>
      <c r="CX125" s="189"/>
      <c r="CY125" s="189"/>
      <c r="CZ125" s="189"/>
      <c r="DA125" s="194"/>
      <c r="DB125" s="281"/>
      <c r="DC125" s="279"/>
      <c r="DD125" s="279"/>
      <c r="DE125" s="189"/>
      <c r="DF125" s="189"/>
      <c r="DG125" s="189"/>
      <c r="DH125" s="189"/>
      <c r="DI125" s="194"/>
      <c r="DJ125" s="281"/>
      <c r="DK125" s="279"/>
      <c r="DL125" s="279"/>
      <c r="DM125" s="189"/>
      <c r="DN125" s="189"/>
      <c r="DO125" s="189"/>
      <c r="DP125" s="189"/>
      <c r="DQ125" s="194"/>
      <c r="DR125" s="281"/>
      <c r="DS125" s="279"/>
      <c r="DT125" s="279"/>
      <c r="DU125" s="189"/>
      <c r="DV125" s="189"/>
      <c r="DW125" s="189"/>
      <c r="DX125" s="189"/>
      <c r="DY125" s="194"/>
      <c r="DZ125" s="281"/>
      <c r="EA125" s="279"/>
      <c r="EB125" s="279"/>
      <c r="EC125" s="189"/>
      <c r="ED125" s="189"/>
      <c r="EE125" s="189"/>
      <c r="EF125" s="189"/>
      <c r="EG125" s="194"/>
      <c r="EH125" s="281"/>
      <c r="EI125" s="279"/>
      <c r="EJ125" s="279"/>
      <c r="EK125" s="189"/>
      <c r="EL125" s="189"/>
      <c r="EM125" s="189"/>
      <c r="EN125" s="189"/>
      <c r="EO125" s="194"/>
      <c r="EP125" s="281"/>
      <c r="EQ125" s="279"/>
      <c r="ER125" s="279"/>
      <c r="ES125" s="189"/>
      <c r="ET125" s="189"/>
      <c r="EU125" s="189"/>
      <c r="EV125" s="189"/>
      <c r="EW125" s="194"/>
      <c r="EX125" s="281"/>
      <c r="EY125" s="279"/>
      <c r="EZ125" s="279"/>
      <c r="FA125" s="189"/>
      <c r="FB125" s="189"/>
      <c r="FC125" s="189"/>
      <c r="FD125" s="189"/>
      <c r="FE125" s="194"/>
      <c r="FF125" s="281"/>
      <c r="FG125" s="279"/>
      <c r="FH125" s="279"/>
      <c r="FI125" s="189"/>
      <c r="FJ125" s="189"/>
      <c r="FK125" s="189"/>
      <c r="FL125" s="189"/>
      <c r="FM125" s="194"/>
      <c r="FN125" s="281"/>
      <c r="FO125" s="279"/>
      <c r="FP125" s="279"/>
      <c r="FQ125" s="189"/>
      <c r="FR125" s="189"/>
      <c r="FS125" s="189"/>
      <c r="FT125" s="189"/>
      <c r="FU125" s="194"/>
      <c r="FV125" s="281"/>
      <c r="FW125" s="279"/>
      <c r="FX125" s="279"/>
      <c r="FY125" s="189"/>
      <c r="FZ125" s="189"/>
      <c r="GA125" s="189"/>
      <c r="GB125" s="189"/>
      <c r="GC125" s="194"/>
      <c r="GD125" s="281"/>
      <c r="GE125" s="279"/>
      <c r="GF125" s="279"/>
      <c r="GG125" s="189"/>
      <c r="GH125" s="189"/>
      <c r="GI125" s="189"/>
      <c r="GJ125" s="189"/>
      <c r="GK125" s="194"/>
      <c r="GL125" s="281"/>
      <c r="GM125" s="279"/>
      <c r="GN125" s="279"/>
      <c r="GO125" s="189"/>
      <c r="GP125" s="189"/>
      <c r="GQ125" s="189"/>
      <c r="GR125" s="189"/>
      <c r="GS125" s="194"/>
      <c r="GT125" s="281"/>
      <c r="GU125" s="279"/>
      <c r="GV125" s="279"/>
      <c r="GW125" s="189"/>
      <c r="GX125" s="189"/>
      <c r="GY125" s="189"/>
      <c r="GZ125" s="189"/>
      <c r="HA125" s="194"/>
      <c r="HB125" s="281"/>
      <c r="HC125" s="279"/>
      <c r="HD125" s="279"/>
      <c r="HE125" s="189"/>
      <c r="HF125" s="189"/>
      <c r="HG125" s="189"/>
      <c r="HH125" s="189"/>
      <c r="HI125" s="194"/>
      <c r="HJ125" s="281"/>
      <c r="HK125" s="279"/>
      <c r="HL125" s="279"/>
      <c r="HM125" s="189"/>
      <c r="HN125" s="189"/>
      <c r="HO125" s="189"/>
      <c r="HP125" s="189"/>
      <c r="HQ125" s="194"/>
      <c r="HR125" s="281"/>
      <c r="HS125" s="279"/>
      <c r="HT125" s="279"/>
      <c r="HU125" s="189"/>
      <c r="HV125" s="189"/>
      <c r="HW125" s="189"/>
      <c r="HX125" s="189"/>
      <c r="HY125" s="194"/>
      <c r="HZ125" s="281"/>
      <c r="IA125" s="279"/>
      <c r="IB125" s="279"/>
      <c r="IC125" s="189"/>
      <c r="ID125" s="189"/>
      <c r="IE125" s="189"/>
      <c r="IF125" s="189"/>
      <c r="IG125" s="194"/>
      <c r="IH125" s="281"/>
      <c r="II125" s="279"/>
      <c r="IJ125" s="279"/>
      <c r="IK125" s="189"/>
      <c r="IL125" s="189"/>
      <c r="IM125" s="189"/>
      <c r="IN125" s="189"/>
    </row>
    <row r="126" spans="1:248" s="188" customFormat="1" ht="12.75">
      <c r="A126" s="227">
        <v>4</v>
      </c>
      <c r="B126" s="282" t="s">
        <v>231</v>
      </c>
      <c r="C126" s="212"/>
      <c r="D126" s="212"/>
      <c r="E126" s="215"/>
      <c r="F126" s="215"/>
      <c r="G126" s="260"/>
      <c r="H126" s="223">
        <v>0</v>
      </c>
      <c r="I126" s="227"/>
      <c r="J126" s="281"/>
      <c r="K126" s="279"/>
      <c r="L126" s="279"/>
      <c r="M126" s="189"/>
      <c r="N126" s="189"/>
      <c r="O126" s="189"/>
      <c r="P126" s="189"/>
      <c r="Q126" s="194"/>
      <c r="R126" s="281"/>
      <c r="S126" s="279"/>
      <c r="T126" s="279"/>
      <c r="U126" s="189"/>
      <c r="V126" s="189"/>
      <c r="W126" s="189"/>
      <c r="X126" s="189"/>
      <c r="Y126" s="194"/>
      <c r="Z126" s="281"/>
      <c r="AA126" s="279"/>
      <c r="AB126" s="279"/>
      <c r="AC126" s="189"/>
      <c r="AD126" s="189"/>
      <c r="AE126" s="189"/>
      <c r="AF126" s="189"/>
      <c r="AG126" s="194"/>
      <c r="AH126" s="281"/>
      <c r="AI126" s="279"/>
      <c r="AJ126" s="279"/>
      <c r="AK126" s="189"/>
      <c r="AL126" s="189"/>
      <c r="AM126" s="189"/>
      <c r="AN126" s="189"/>
      <c r="AO126" s="194"/>
      <c r="AP126" s="281"/>
      <c r="AQ126" s="279"/>
      <c r="AR126" s="279"/>
      <c r="AS126" s="189"/>
      <c r="AT126" s="189"/>
      <c r="AU126" s="189"/>
      <c r="AV126" s="189"/>
      <c r="AW126" s="194"/>
      <c r="AX126" s="281"/>
      <c r="AY126" s="279"/>
      <c r="AZ126" s="279"/>
      <c r="BA126" s="189"/>
      <c r="BB126" s="189"/>
      <c r="BC126" s="189"/>
      <c r="BD126" s="189"/>
      <c r="BE126" s="194"/>
      <c r="BF126" s="281"/>
      <c r="BG126" s="279"/>
      <c r="BH126" s="279"/>
      <c r="BI126" s="189"/>
      <c r="BJ126" s="189"/>
      <c r="BK126" s="189"/>
      <c r="BL126" s="189"/>
      <c r="BM126" s="194"/>
      <c r="BN126" s="281"/>
      <c r="BO126" s="279"/>
      <c r="BP126" s="279"/>
      <c r="BQ126" s="189"/>
      <c r="BR126" s="189"/>
      <c r="BS126" s="189"/>
      <c r="BT126" s="189"/>
      <c r="BU126" s="194"/>
      <c r="BV126" s="281"/>
      <c r="BW126" s="279"/>
      <c r="BX126" s="279"/>
      <c r="BY126" s="189"/>
      <c r="BZ126" s="189"/>
      <c r="CA126" s="189"/>
      <c r="CB126" s="189"/>
      <c r="CC126" s="194"/>
      <c r="CD126" s="281"/>
      <c r="CE126" s="279"/>
      <c r="CF126" s="279"/>
      <c r="CG126" s="189"/>
      <c r="CH126" s="189"/>
      <c r="CI126" s="189"/>
      <c r="CJ126" s="189"/>
      <c r="CK126" s="194"/>
      <c r="CL126" s="281"/>
      <c r="CM126" s="279"/>
      <c r="CN126" s="279"/>
      <c r="CO126" s="189"/>
      <c r="CP126" s="189"/>
      <c r="CQ126" s="189"/>
      <c r="CR126" s="189"/>
      <c r="CS126" s="194"/>
      <c r="CT126" s="281"/>
      <c r="CU126" s="279"/>
      <c r="CV126" s="279"/>
      <c r="CW126" s="189"/>
      <c r="CX126" s="189"/>
      <c r="CY126" s="189"/>
      <c r="CZ126" s="189"/>
      <c r="DA126" s="194"/>
      <c r="DB126" s="281"/>
      <c r="DC126" s="279"/>
      <c r="DD126" s="279"/>
      <c r="DE126" s="189"/>
      <c r="DF126" s="189"/>
      <c r="DG126" s="189"/>
      <c r="DH126" s="189"/>
      <c r="DI126" s="194"/>
      <c r="DJ126" s="281"/>
      <c r="DK126" s="279"/>
      <c r="DL126" s="279"/>
      <c r="DM126" s="189"/>
      <c r="DN126" s="189"/>
      <c r="DO126" s="189"/>
      <c r="DP126" s="189"/>
      <c r="DQ126" s="194"/>
      <c r="DR126" s="281"/>
      <c r="DS126" s="279"/>
      <c r="DT126" s="279"/>
      <c r="DU126" s="189"/>
      <c r="DV126" s="189"/>
      <c r="DW126" s="189"/>
      <c r="DX126" s="189"/>
      <c r="DY126" s="194"/>
      <c r="DZ126" s="281"/>
      <c r="EA126" s="279"/>
      <c r="EB126" s="279"/>
      <c r="EC126" s="189"/>
      <c r="ED126" s="189"/>
      <c r="EE126" s="189"/>
      <c r="EF126" s="189"/>
      <c r="EG126" s="194"/>
      <c r="EH126" s="281"/>
      <c r="EI126" s="279"/>
      <c r="EJ126" s="279"/>
      <c r="EK126" s="189"/>
      <c r="EL126" s="189"/>
      <c r="EM126" s="189"/>
      <c r="EN126" s="189"/>
      <c r="EO126" s="194"/>
      <c r="EP126" s="281"/>
      <c r="EQ126" s="279"/>
      <c r="ER126" s="279"/>
      <c r="ES126" s="189"/>
      <c r="ET126" s="189"/>
      <c r="EU126" s="189"/>
      <c r="EV126" s="189"/>
      <c r="EW126" s="194"/>
      <c r="EX126" s="281"/>
      <c r="EY126" s="279"/>
      <c r="EZ126" s="279"/>
      <c r="FA126" s="189"/>
      <c r="FB126" s="189"/>
      <c r="FC126" s="189"/>
      <c r="FD126" s="189"/>
      <c r="FE126" s="194"/>
      <c r="FF126" s="281"/>
      <c r="FG126" s="279"/>
      <c r="FH126" s="279"/>
      <c r="FI126" s="189"/>
      <c r="FJ126" s="189"/>
      <c r="FK126" s="189"/>
      <c r="FL126" s="189"/>
      <c r="FM126" s="194"/>
      <c r="FN126" s="281"/>
      <c r="FO126" s="279"/>
      <c r="FP126" s="279"/>
      <c r="FQ126" s="189"/>
      <c r="FR126" s="189"/>
      <c r="FS126" s="189"/>
      <c r="FT126" s="189"/>
      <c r="FU126" s="194"/>
      <c r="FV126" s="281"/>
      <c r="FW126" s="279"/>
      <c r="FX126" s="279"/>
      <c r="FY126" s="189"/>
      <c r="FZ126" s="189"/>
      <c r="GA126" s="189"/>
      <c r="GB126" s="189"/>
      <c r="GC126" s="194"/>
      <c r="GD126" s="281"/>
      <c r="GE126" s="279"/>
      <c r="GF126" s="279"/>
      <c r="GG126" s="189"/>
      <c r="GH126" s="189"/>
      <c r="GI126" s="189"/>
      <c r="GJ126" s="189"/>
      <c r="GK126" s="194"/>
      <c r="GL126" s="281"/>
      <c r="GM126" s="279"/>
      <c r="GN126" s="279"/>
      <c r="GO126" s="189"/>
      <c r="GP126" s="189"/>
      <c r="GQ126" s="189"/>
      <c r="GR126" s="189"/>
      <c r="GS126" s="194"/>
      <c r="GT126" s="281"/>
      <c r="GU126" s="279"/>
      <c r="GV126" s="279"/>
      <c r="GW126" s="189"/>
      <c r="GX126" s="189"/>
      <c r="GY126" s="189"/>
      <c r="GZ126" s="189"/>
      <c r="HA126" s="194"/>
      <c r="HB126" s="281"/>
      <c r="HC126" s="279"/>
      <c r="HD126" s="279"/>
      <c r="HE126" s="189"/>
      <c r="HF126" s="189"/>
      <c r="HG126" s="189"/>
      <c r="HH126" s="189"/>
      <c r="HI126" s="194"/>
      <c r="HJ126" s="281"/>
      <c r="HK126" s="279"/>
      <c r="HL126" s="279"/>
      <c r="HM126" s="189"/>
      <c r="HN126" s="189"/>
      <c r="HO126" s="189"/>
      <c r="HP126" s="189"/>
      <c r="HQ126" s="194"/>
      <c r="HR126" s="281"/>
      <c r="HS126" s="279"/>
      <c r="HT126" s="279"/>
      <c r="HU126" s="189"/>
      <c r="HV126" s="189"/>
      <c r="HW126" s="189"/>
      <c r="HX126" s="189"/>
      <c r="HY126" s="194"/>
      <c r="HZ126" s="281"/>
      <c r="IA126" s="279"/>
      <c r="IB126" s="279"/>
      <c r="IC126" s="189"/>
      <c r="ID126" s="189"/>
      <c r="IE126" s="189"/>
      <c r="IF126" s="189"/>
      <c r="IG126" s="194"/>
      <c r="IH126" s="281"/>
      <c r="II126" s="279"/>
      <c r="IJ126" s="279"/>
      <c r="IK126" s="189"/>
      <c r="IL126" s="189"/>
      <c r="IM126" s="189"/>
      <c r="IN126" s="189"/>
    </row>
    <row r="127" spans="1:248" s="188" customFormat="1" ht="12.75">
      <c r="A127" s="227">
        <v>5</v>
      </c>
      <c r="B127" s="282" t="s">
        <v>558</v>
      </c>
      <c r="C127" s="212"/>
      <c r="D127" s="212"/>
      <c r="E127" s="215"/>
      <c r="F127" s="215"/>
      <c r="G127" s="260"/>
      <c r="H127" s="223">
        <v>29000</v>
      </c>
      <c r="I127" s="227"/>
      <c r="J127" s="281"/>
      <c r="K127" s="279"/>
      <c r="L127" s="279"/>
      <c r="M127" s="189"/>
      <c r="N127" s="189"/>
      <c r="O127" s="189"/>
      <c r="P127" s="189"/>
      <c r="Q127" s="194"/>
      <c r="R127" s="281"/>
      <c r="S127" s="279"/>
      <c r="T127" s="279"/>
      <c r="U127" s="189"/>
      <c r="V127" s="189"/>
      <c r="W127" s="189"/>
      <c r="X127" s="189"/>
      <c r="Y127" s="194"/>
      <c r="Z127" s="281"/>
      <c r="AA127" s="279"/>
      <c r="AB127" s="279"/>
      <c r="AC127" s="189"/>
      <c r="AD127" s="189"/>
      <c r="AE127" s="189"/>
      <c r="AF127" s="189"/>
      <c r="AG127" s="194"/>
      <c r="AH127" s="281"/>
      <c r="AI127" s="279"/>
      <c r="AJ127" s="279"/>
      <c r="AK127" s="189"/>
      <c r="AL127" s="189"/>
      <c r="AM127" s="189"/>
      <c r="AN127" s="189"/>
      <c r="AO127" s="194"/>
      <c r="AP127" s="281"/>
      <c r="AQ127" s="279"/>
      <c r="AR127" s="279"/>
      <c r="AS127" s="189"/>
      <c r="AT127" s="189"/>
      <c r="AU127" s="189"/>
      <c r="AV127" s="189"/>
      <c r="AW127" s="194"/>
      <c r="AX127" s="281"/>
      <c r="AY127" s="279"/>
      <c r="AZ127" s="279"/>
      <c r="BA127" s="189"/>
      <c r="BB127" s="189"/>
      <c r="BC127" s="189"/>
      <c r="BD127" s="189"/>
      <c r="BE127" s="194"/>
      <c r="BF127" s="281"/>
      <c r="BG127" s="279"/>
      <c r="BH127" s="279"/>
      <c r="BI127" s="189"/>
      <c r="BJ127" s="189"/>
      <c r="BK127" s="189"/>
      <c r="BL127" s="189"/>
      <c r="BM127" s="194"/>
      <c r="BN127" s="281"/>
      <c r="BO127" s="279"/>
      <c r="BP127" s="279"/>
      <c r="BQ127" s="189"/>
      <c r="BR127" s="189"/>
      <c r="BS127" s="189"/>
      <c r="BT127" s="189"/>
      <c r="BU127" s="194"/>
      <c r="BV127" s="281"/>
      <c r="BW127" s="279"/>
      <c r="BX127" s="279"/>
      <c r="BY127" s="189"/>
      <c r="BZ127" s="189"/>
      <c r="CA127" s="189"/>
      <c r="CB127" s="189"/>
      <c r="CC127" s="194"/>
      <c r="CD127" s="281"/>
      <c r="CE127" s="279"/>
      <c r="CF127" s="279"/>
      <c r="CG127" s="189"/>
      <c r="CH127" s="189"/>
      <c r="CI127" s="189"/>
      <c r="CJ127" s="189"/>
      <c r="CK127" s="194"/>
      <c r="CL127" s="281"/>
      <c r="CM127" s="279"/>
      <c r="CN127" s="279"/>
      <c r="CO127" s="189"/>
      <c r="CP127" s="189"/>
      <c r="CQ127" s="189"/>
      <c r="CR127" s="189"/>
      <c r="CS127" s="194"/>
      <c r="CT127" s="281"/>
      <c r="CU127" s="279"/>
      <c r="CV127" s="279"/>
      <c r="CW127" s="189"/>
      <c r="CX127" s="189"/>
      <c r="CY127" s="189"/>
      <c r="CZ127" s="189"/>
      <c r="DA127" s="194"/>
      <c r="DB127" s="281"/>
      <c r="DC127" s="279"/>
      <c r="DD127" s="279"/>
      <c r="DE127" s="189"/>
      <c r="DF127" s="189"/>
      <c r="DG127" s="189"/>
      <c r="DH127" s="189"/>
      <c r="DI127" s="194"/>
      <c r="DJ127" s="281"/>
      <c r="DK127" s="279"/>
      <c r="DL127" s="279"/>
      <c r="DM127" s="189"/>
      <c r="DN127" s="189"/>
      <c r="DO127" s="189"/>
      <c r="DP127" s="189"/>
      <c r="DQ127" s="194"/>
      <c r="DR127" s="281"/>
      <c r="DS127" s="279"/>
      <c r="DT127" s="279"/>
      <c r="DU127" s="189"/>
      <c r="DV127" s="189"/>
      <c r="DW127" s="189"/>
      <c r="DX127" s="189"/>
      <c r="DY127" s="194"/>
      <c r="DZ127" s="281"/>
      <c r="EA127" s="279"/>
      <c r="EB127" s="279"/>
      <c r="EC127" s="189"/>
      <c r="ED127" s="189"/>
      <c r="EE127" s="189"/>
      <c r="EF127" s="189"/>
      <c r="EG127" s="194"/>
      <c r="EH127" s="281"/>
      <c r="EI127" s="279"/>
      <c r="EJ127" s="279"/>
      <c r="EK127" s="189"/>
      <c r="EL127" s="189"/>
      <c r="EM127" s="189"/>
      <c r="EN127" s="189"/>
      <c r="EO127" s="194"/>
      <c r="EP127" s="281"/>
      <c r="EQ127" s="279"/>
      <c r="ER127" s="279"/>
      <c r="ES127" s="189"/>
      <c r="ET127" s="189"/>
      <c r="EU127" s="189"/>
      <c r="EV127" s="189"/>
      <c r="EW127" s="194"/>
      <c r="EX127" s="281"/>
      <c r="EY127" s="279"/>
      <c r="EZ127" s="279"/>
      <c r="FA127" s="189"/>
      <c r="FB127" s="189"/>
      <c r="FC127" s="189"/>
      <c r="FD127" s="189"/>
      <c r="FE127" s="194"/>
      <c r="FF127" s="281"/>
      <c r="FG127" s="279"/>
      <c r="FH127" s="279"/>
      <c r="FI127" s="189"/>
      <c r="FJ127" s="189"/>
      <c r="FK127" s="189"/>
      <c r="FL127" s="189"/>
      <c r="FM127" s="194"/>
      <c r="FN127" s="281"/>
      <c r="FO127" s="279"/>
      <c r="FP127" s="279"/>
      <c r="FQ127" s="189"/>
      <c r="FR127" s="189"/>
      <c r="FS127" s="189"/>
      <c r="FT127" s="189"/>
      <c r="FU127" s="194"/>
      <c r="FV127" s="281"/>
      <c r="FW127" s="279"/>
      <c r="FX127" s="279"/>
      <c r="FY127" s="189"/>
      <c r="FZ127" s="189"/>
      <c r="GA127" s="189"/>
      <c r="GB127" s="189"/>
      <c r="GC127" s="194"/>
      <c r="GD127" s="281"/>
      <c r="GE127" s="279"/>
      <c r="GF127" s="279"/>
      <c r="GG127" s="189"/>
      <c r="GH127" s="189"/>
      <c r="GI127" s="189"/>
      <c r="GJ127" s="189"/>
      <c r="GK127" s="194"/>
      <c r="GL127" s="281"/>
      <c r="GM127" s="279"/>
      <c r="GN127" s="279"/>
      <c r="GO127" s="189"/>
      <c r="GP127" s="189"/>
      <c r="GQ127" s="189"/>
      <c r="GR127" s="189"/>
      <c r="GS127" s="194"/>
      <c r="GT127" s="281"/>
      <c r="GU127" s="279"/>
      <c r="GV127" s="279"/>
      <c r="GW127" s="189"/>
      <c r="GX127" s="189"/>
      <c r="GY127" s="189"/>
      <c r="GZ127" s="189"/>
      <c r="HA127" s="194"/>
      <c r="HB127" s="281"/>
      <c r="HC127" s="279"/>
      <c r="HD127" s="279"/>
      <c r="HE127" s="189"/>
      <c r="HF127" s="189"/>
      <c r="HG127" s="189"/>
      <c r="HH127" s="189"/>
      <c r="HI127" s="194"/>
      <c r="HJ127" s="281"/>
      <c r="HK127" s="279"/>
      <c r="HL127" s="279"/>
      <c r="HM127" s="189"/>
      <c r="HN127" s="189"/>
      <c r="HO127" s="189"/>
      <c r="HP127" s="189"/>
      <c r="HQ127" s="194"/>
      <c r="HR127" s="281"/>
      <c r="HS127" s="279"/>
      <c r="HT127" s="279"/>
      <c r="HU127" s="189"/>
      <c r="HV127" s="189"/>
      <c r="HW127" s="189"/>
      <c r="HX127" s="189"/>
      <c r="HY127" s="194"/>
      <c r="HZ127" s="281"/>
      <c r="IA127" s="279"/>
      <c r="IB127" s="279"/>
      <c r="IC127" s="189"/>
      <c r="ID127" s="189"/>
      <c r="IE127" s="189"/>
      <c r="IF127" s="189"/>
      <c r="IG127" s="194"/>
      <c r="IH127" s="281"/>
      <c r="II127" s="279"/>
      <c r="IJ127" s="279"/>
      <c r="IK127" s="189"/>
      <c r="IL127" s="189"/>
      <c r="IM127" s="189"/>
      <c r="IN127" s="189"/>
    </row>
    <row r="128" spans="1:248" s="188" customFormat="1" ht="15">
      <c r="A128" s="227"/>
      <c r="B128" s="93" t="s">
        <v>220</v>
      </c>
      <c r="C128" s="224"/>
      <c r="D128" s="210"/>
      <c r="E128" s="231"/>
      <c r="F128" s="231"/>
      <c r="G128" s="245"/>
      <c r="H128" s="254">
        <f>H111+H112+H122</f>
        <v>1129156.0024169981</v>
      </c>
      <c r="I128" s="280"/>
      <c r="K128" s="279"/>
      <c r="L128" s="279"/>
      <c r="M128" s="189"/>
      <c r="N128" s="189"/>
      <c r="O128" s="189"/>
      <c r="P128" s="189"/>
      <c r="Q128" s="194"/>
      <c r="S128" s="279"/>
      <c r="T128" s="279"/>
      <c r="U128" s="189"/>
      <c r="V128" s="189"/>
      <c r="W128" s="189"/>
      <c r="X128" s="189"/>
      <c r="Y128" s="194"/>
      <c r="AA128" s="279"/>
      <c r="AB128" s="279"/>
      <c r="AC128" s="189"/>
      <c r="AD128" s="189"/>
      <c r="AE128" s="189"/>
      <c r="AF128" s="189"/>
      <c r="AG128" s="194"/>
      <c r="AI128" s="279"/>
      <c r="AJ128" s="279"/>
      <c r="AK128" s="189"/>
      <c r="AL128" s="189"/>
      <c r="AM128" s="189"/>
      <c r="AN128" s="189"/>
      <c r="AO128" s="194"/>
      <c r="AQ128" s="279"/>
      <c r="AR128" s="279"/>
      <c r="AS128" s="189"/>
      <c r="AT128" s="189"/>
      <c r="AU128" s="189"/>
      <c r="AV128" s="189"/>
      <c r="AW128" s="194"/>
      <c r="AY128" s="279"/>
      <c r="AZ128" s="279"/>
      <c r="BA128" s="189"/>
      <c r="BB128" s="189"/>
      <c r="BC128" s="189"/>
      <c r="BD128" s="189"/>
      <c r="BE128" s="194"/>
      <c r="BG128" s="279"/>
      <c r="BH128" s="279"/>
      <c r="BI128" s="189"/>
      <c r="BJ128" s="189"/>
      <c r="BK128" s="189"/>
      <c r="BL128" s="189"/>
      <c r="BM128" s="194"/>
      <c r="BO128" s="279"/>
      <c r="BP128" s="279"/>
      <c r="BQ128" s="189"/>
      <c r="BR128" s="189"/>
      <c r="BS128" s="189"/>
      <c r="BT128" s="189"/>
      <c r="BU128" s="194"/>
      <c r="BW128" s="279"/>
      <c r="BX128" s="279"/>
      <c r="BY128" s="189"/>
      <c r="BZ128" s="189"/>
      <c r="CA128" s="189"/>
      <c r="CB128" s="189"/>
      <c r="CC128" s="194"/>
      <c r="CE128" s="279"/>
      <c r="CF128" s="279"/>
      <c r="CG128" s="189"/>
      <c r="CH128" s="189"/>
      <c r="CI128" s="189"/>
      <c r="CJ128" s="189"/>
      <c r="CK128" s="194"/>
      <c r="CM128" s="279"/>
      <c r="CN128" s="279"/>
      <c r="CO128" s="189"/>
      <c r="CP128" s="189"/>
      <c r="CQ128" s="189"/>
      <c r="CR128" s="189"/>
      <c r="CS128" s="194"/>
      <c r="CU128" s="279"/>
      <c r="CV128" s="279"/>
      <c r="CW128" s="189"/>
      <c r="CX128" s="189"/>
      <c r="CY128" s="189"/>
      <c r="CZ128" s="189"/>
      <c r="DA128" s="194"/>
      <c r="DC128" s="279"/>
      <c r="DD128" s="279"/>
      <c r="DE128" s="189"/>
      <c r="DF128" s="189"/>
      <c r="DG128" s="189"/>
      <c r="DH128" s="189"/>
      <c r="DI128" s="194"/>
      <c r="DK128" s="279"/>
      <c r="DL128" s="279"/>
      <c r="DM128" s="189"/>
      <c r="DN128" s="189"/>
      <c r="DO128" s="189"/>
      <c r="DP128" s="189"/>
      <c r="DQ128" s="194"/>
      <c r="DS128" s="279"/>
      <c r="DT128" s="279"/>
      <c r="DU128" s="189"/>
      <c r="DV128" s="189"/>
      <c r="DW128" s="189"/>
      <c r="DX128" s="189"/>
      <c r="DY128" s="194"/>
      <c r="EA128" s="279"/>
      <c r="EB128" s="279"/>
      <c r="EC128" s="189"/>
      <c r="ED128" s="189"/>
      <c r="EE128" s="189"/>
      <c r="EF128" s="189"/>
      <c r="EG128" s="194"/>
      <c r="EI128" s="279"/>
      <c r="EJ128" s="279"/>
      <c r="EK128" s="189"/>
      <c r="EL128" s="189"/>
      <c r="EM128" s="189"/>
      <c r="EN128" s="189"/>
      <c r="EO128" s="194"/>
      <c r="EQ128" s="279"/>
      <c r="ER128" s="279"/>
      <c r="ES128" s="189"/>
      <c r="ET128" s="189"/>
      <c r="EU128" s="189"/>
      <c r="EV128" s="189"/>
      <c r="EW128" s="194"/>
      <c r="EY128" s="279"/>
      <c r="EZ128" s="279"/>
      <c r="FA128" s="189"/>
      <c r="FB128" s="189"/>
      <c r="FC128" s="189"/>
      <c r="FD128" s="189"/>
      <c r="FE128" s="194"/>
      <c r="FG128" s="279"/>
      <c r="FH128" s="279"/>
      <c r="FI128" s="189"/>
      <c r="FJ128" s="189"/>
      <c r="FK128" s="189"/>
      <c r="FL128" s="189"/>
      <c r="FM128" s="194"/>
      <c r="FO128" s="279"/>
      <c r="FP128" s="279"/>
      <c r="FQ128" s="189"/>
      <c r="FR128" s="189"/>
      <c r="FS128" s="189"/>
      <c r="FT128" s="189"/>
      <c r="FU128" s="194"/>
      <c r="FW128" s="279"/>
      <c r="FX128" s="279"/>
      <c r="FY128" s="189"/>
      <c r="FZ128" s="189"/>
      <c r="GA128" s="189"/>
      <c r="GB128" s="189"/>
      <c r="GC128" s="194"/>
      <c r="GE128" s="279"/>
      <c r="GF128" s="279"/>
      <c r="GG128" s="189"/>
      <c r="GH128" s="189"/>
      <c r="GI128" s="189"/>
      <c r="GJ128" s="189"/>
      <c r="GK128" s="194"/>
      <c r="GM128" s="279"/>
      <c r="GN128" s="279"/>
      <c r="GO128" s="189"/>
      <c r="GP128" s="189"/>
      <c r="GQ128" s="189"/>
      <c r="GR128" s="189"/>
      <c r="GS128" s="194"/>
      <c r="GU128" s="279"/>
      <c r="GV128" s="279"/>
      <c r="GW128" s="189"/>
      <c r="GX128" s="189"/>
      <c r="GY128" s="189"/>
      <c r="GZ128" s="189"/>
      <c r="HA128" s="194"/>
      <c r="HC128" s="279"/>
      <c r="HD128" s="279"/>
      <c r="HE128" s="189"/>
      <c r="HF128" s="189"/>
      <c r="HG128" s="189"/>
      <c r="HH128" s="189"/>
      <c r="HI128" s="194"/>
      <c r="HK128" s="279"/>
      <c r="HL128" s="279"/>
      <c r="HM128" s="189"/>
      <c r="HN128" s="189"/>
      <c r="HO128" s="189"/>
      <c r="HP128" s="189"/>
      <c r="HQ128" s="194"/>
      <c r="HS128" s="279"/>
      <c r="HT128" s="279"/>
      <c r="HU128" s="189"/>
      <c r="HV128" s="189"/>
      <c r="HW128" s="189"/>
      <c r="HX128" s="189"/>
      <c r="HY128" s="194"/>
      <c r="IA128" s="279"/>
      <c r="IB128" s="279"/>
      <c r="IC128" s="189"/>
      <c r="ID128" s="189"/>
      <c r="IE128" s="189"/>
      <c r="IF128" s="189"/>
      <c r="IG128" s="194"/>
      <c r="II128" s="279"/>
      <c r="IJ128" s="279"/>
      <c r="IK128" s="189"/>
      <c r="IL128" s="189"/>
      <c r="IM128" s="189"/>
      <c r="IN128" s="189"/>
    </row>
    <row r="129" spans="1:9" ht="12.75">
      <c r="A129" s="399" t="s">
        <v>68</v>
      </c>
      <c r="B129" s="400"/>
      <c r="C129" s="400"/>
      <c r="D129" s="400"/>
      <c r="E129" s="400"/>
      <c r="F129" s="400"/>
      <c r="G129" s="400"/>
      <c r="H129" s="185"/>
      <c r="I129" s="51"/>
    </row>
    <row r="130" spans="1:9" ht="12.75">
      <c r="A130" s="227">
        <v>1</v>
      </c>
      <c r="B130" s="277"/>
      <c r="C130" s="215" t="s">
        <v>238</v>
      </c>
      <c r="D130" s="215" t="s">
        <v>122</v>
      </c>
      <c r="E130" s="205" t="s">
        <v>122</v>
      </c>
      <c r="F130" s="205" t="s">
        <v>122</v>
      </c>
      <c r="G130" s="205" t="s">
        <v>122</v>
      </c>
      <c r="H130" s="278" t="s">
        <v>239</v>
      </c>
      <c r="I130" s="51"/>
    </row>
    <row r="131" spans="1:9" ht="12.75">
      <c r="A131" s="227"/>
      <c r="B131" s="277"/>
      <c r="C131" s="215"/>
      <c r="D131" s="215"/>
      <c r="E131" s="215"/>
      <c r="F131" s="215"/>
      <c r="G131" s="215"/>
      <c r="H131" s="276"/>
      <c r="I131" s="51"/>
    </row>
    <row r="132" spans="1:9" ht="12.75">
      <c r="A132" s="421" t="s">
        <v>19</v>
      </c>
      <c r="B132" s="422"/>
      <c r="C132" s="422"/>
      <c r="D132" s="422"/>
      <c r="E132" s="422"/>
      <c r="F132" s="422"/>
      <c r="G132" s="422"/>
      <c r="H132" s="422"/>
      <c r="I132" s="51"/>
    </row>
    <row r="133" spans="1:9" ht="12.75">
      <c r="A133" s="421" t="s">
        <v>20</v>
      </c>
      <c r="B133" s="422"/>
      <c r="C133" s="422"/>
      <c r="D133" s="422"/>
      <c r="E133" s="422"/>
      <c r="F133" s="422"/>
      <c r="G133" s="422"/>
      <c r="H133" s="422"/>
      <c r="I133" s="51"/>
    </row>
    <row r="134" spans="1:9" ht="12.75">
      <c r="A134" s="212">
        <v>1</v>
      </c>
      <c r="B134" s="208" t="s">
        <v>297</v>
      </c>
      <c r="C134" s="51"/>
      <c r="D134" s="51"/>
      <c r="E134" s="215"/>
      <c r="F134" s="215"/>
      <c r="G134" s="215"/>
      <c r="H134" s="223"/>
      <c r="I134" s="51"/>
    </row>
    <row r="135" spans="1:9" ht="14.25">
      <c r="A135" s="51"/>
      <c r="B135" s="256" t="s">
        <v>82</v>
      </c>
      <c r="C135" s="212" t="s">
        <v>61</v>
      </c>
      <c r="D135" s="212">
        <v>118</v>
      </c>
      <c r="E135" s="269">
        <v>1</v>
      </c>
      <c r="F135" s="216">
        <v>1</v>
      </c>
      <c r="G135" s="215">
        <f aca="true" t="shared" si="6" ref="G135:G144">D135*E135*F135</f>
        <v>118</v>
      </c>
      <c r="H135" s="219">
        <f aca="true" t="shared" si="7" ref="H135:H166">917978/59164.34*G135</f>
        <v>1830.856289447326</v>
      </c>
      <c r="I135" s="51"/>
    </row>
    <row r="136" spans="1:9" ht="14.25">
      <c r="A136" s="51"/>
      <c r="B136" s="256" t="s">
        <v>83</v>
      </c>
      <c r="C136" s="212" t="s">
        <v>80</v>
      </c>
      <c r="D136" s="212">
        <v>236</v>
      </c>
      <c r="E136" s="269">
        <v>3</v>
      </c>
      <c r="F136" s="216">
        <v>0.042</v>
      </c>
      <c r="G136" s="261">
        <f t="shared" si="6"/>
        <v>29.736</v>
      </c>
      <c r="H136" s="219">
        <f t="shared" si="7"/>
        <v>461.37578494072613</v>
      </c>
      <c r="I136" s="51"/>
    </row>
    <row r="137" spans="1:9" ht="12.75">
      <c r="A137" s="51"/>
      <c r="B137" s="256" t="s">
        <v>291</v>
      </c>
      <c r="C137" s="212" t="s">
        <v>80</v>
      </c>
      <c r="D137" s="212">
        <v>50</v>
      </c>
      <c r="E137" s="216">
        <v>1</v>
      </c>
      <c r="F137" s="216">
        <v>1.111</v>
      </c>
      <c r="G137" s="261">
        <f t="shared" si="6"/>
        <v>55.55</v>
      </c>
      <c r="H137" s="219">
        <f t="shared" si="7"/>
        <v>861.8988718542283</v>
      </c>
      <c r="I137" s="51"/>
    </row>
    <row r="138" spans="1:9" ht="12.75">
      <c r="A138" s="51"/>
      <c r="B138" s="256" t="s">
        <v>292</v>
      </c>
      <c r="C138" s="212" t="s">
        <v>80</v>
      </c>
      <c r="D138" s="212">
        <v>50</v>
      </c>
      <c r="E138" s="216">
        <v>1</v>
      </c>
      <c r="F138" s="216">
        <v>3.333</v>
      </c>
      <c r="G138" s="261">
        <f t="shared" si="6"/>
        <v>166.65</v>
      </c>
      <c r="H138" s="219">
        <f t="shared" si="7"/>
        <v>2585.6966155626856</v>
      </c>
      <c r="I138" s="51"/>
    </row>
    <row r="139" spans="1:9" ht="12.75">
      <c r="A139" s="51"/>
      <c r="B139" s="256" t="s">
        <v>293</v>
      </c>
      <c r="C139" s="212" t="s">
        <v>80</v>
      </c>
      <c r="D139" s="212">
        <v>1000</v>
      </c>
      <c r="E139" s="216">
        <v>1</v>
      </c>
      <c r="F139" s="216">
        <v>0.04</v>
      </c>
      <c r="G139" s="221">
        <f t="shared" si="6"/>
        <v>40</v>
      </c>
      <c r="H139" s="219">
        <f t="shared" si="7"/>
        <v>620.6292506601105</v>
      </c>
      <c r="I139" s="51"/>
    </row>
    <row r="140" spans="1:9" ht="12.75">
      <c r="A140" s="51"/>
      <c r="B140" s="256" t="s">
        <v>294</v>
      </c>
      <c r="C140" s="212" t="s">
        <v>295</v>
      </c>
      <c r="D140" s="212">
        <v>1.5</v>
      </c>
      <c r="E140" s="216">
        <v>1</v>
      </c>
      <c r="F140" s="275">
        <v>14.286</v>
      </c>
      <c r="G140" s="261">
        <f t="shared" si="6"/>
        <v>21.429</v>
      </c>
      <c r="H140" s="219">
        <f t="shared" si="7"/>
        <v>332.48660530988764</v>
      </c>
      <c r="I140" s="51"/>
    </row>
    <row r="141" spans="1:9" ht="14.25">
      <c r="A141" s="51"/>
      <c r="B141" s="256" t="s">
        <v>113</v>
      </c>
      <c r="C141" s="212" t="s">
        <v>61</v>
      </c>
      <c r="D141" s="212">
        <v>4</v>
      </c>
      <c r="E141" s="269">
        <v>11</v>
      </c>
      <c r="F141" s="216">
        <v>1</v>
      </c>
      <c r="G141" s="261">
        <f t="shared" si="6"/>
        <v>44</v>
      </c>
      <c r="H141" s="219">
        <f t="shared" si="7"/>
        <v>682.6921757261215</v>
      </c>
      <c r="I141" s="51"/>
    </row>
    <row r="142" spans="1:9" ht="14.25">
      <c r="A142" s="51"/>
      <c r="B142" s="256" t="s">
        <v>114</v>
      </c>
      <c r="C142" s="212" t="s">
        <v>61</v>
      </c>
      <c r="D142" s="212">
        <v>17</v>
      </c>
      <c r="E142" s="269">
        <v>3</v>
      </c>
      <c r="F142" s="216">
        <v>1</v>
      </c>
      <c r="G142" s="261">
        <f t="shared" si="6"/>
        <v>51</v>
      </c>
      <c r="H142" s="219">
        <f t="shared" si="7"/>
        <v>791.3022945916408</v>
      </c>
      <c r="I142" s="51"/>
    </row>
    <row r="143" spans="1:9" ht="14.25">
      <c r="A143" s="51"/>
      <c r="B143" s="256" t="s">
        <v>110</v>
      </c>
      <c r="C143" s="212" t="s">
        <v>61</v>
      </c>
      <c r="D143" s="212">
        <v>16</v>
      </c>
      <c r="E143" s="269">
        <f>4*3</f>
        <v>12</v>
      </c>
      <c r="F143" s="216">
        <v>1</v>
      </c>
      <c r="G143" s="215">
        <f t="shared" si="6"/>
        <v>192</v>
      </c>
      <c r="H143" s="219">
        <f t="shared" si="7"/>
        <v>2979.0204031685303</v>
      </c>
      <c r="I143" s="51"/>
    </row>
    <row r="144" spans="1:9" ht="14.25">
      <c r="A144" s="51"/>
      <c r="B144" s="256" t="s">
        <v>421</v>
      </c>
      <c r="C144" s="212" t="s">
        <v>61</v>
      </c>
      <c r="D144" s="212">
        <v>14111</v>
      </c>
      <c r="E144" s="269">
        <v>1</v>
      </c>
      <c r="F144" s="216">
        <v>1</v>
      </c>
      <c r="G144" s="261">
        <f t="shared" si="6"/>
        <v>14111</v>
      </c>
      <c r="H144" s="219">
        <f t="shared" si="7"/>
        <v>218942.48390162046</v>
      </c>
      <c r="I144" s="51" t="s">
        <v>551</v>
      </c>
    </row>
    <row r="145" spans="1:9" ht="12.75">
      <c r="A145" s="51">
        <v>2</v>
      </c>
      <c r="B145" s="208" t="s">
        <v>298</v>
      </c>
      <c r="C145" s="51"/>
      <c r="D145" s="51"/>
      <c r="E145" s="215"/>
      <c r="F145" s="216"/>
      <c r="G145" s="215"/>
      <c r="H145" s="219">
        <f t="shared" si="7"/>
        <v>0</v>
      </c>
      <c r="I145" s="51"/>
    </row>
    <row r="146" spans="1:9" ht="12.75">
      <c r="A146" s="256"/>
      <c r="B146" s="208" t="s">
        <v>299</v>
      </c>
      <c r="C146" s="51"/>
      <c r="D146" s="51"/>
      <c r="E146" s="215"/>
      <c r="F146" s="215"/>
      <c r="G146" s="215"/>
      <c r="H146" s="219">
        <f t="shared" si="7"/>
        <v>0</v>
      </c>
      <c r="I146" s="51"/>
    </row>
    <row r="147" spans="1:9" ht="14.25">
      <c r="A147" s="274"/>
      <c r="B147" s="256" t="s">
        <v>70</v>
      </c>
      <c r="C147" s="212" t="s">
        <v>71</v>
      </c>
      <c r="D147" s="212">
        <v>4000</v>
      </c>
      <c r="E147" s="269">
        <v>4</v>
      </c>
      <c r="F147" s="216">
        <v>0.056</v>
      </c>
      <c r="G147" s="215">
        <f aca="true" t="shared" si="8" ref="G147:G155">D147*E147*F147</f>
        <v>896</v>
      </c>
      <c r="H147" s="219">
        <f t="shared" si="7"/>
        <v>13902.095214786474</v>
      </c>
      <c r="I147" s="51"/>
    </row>
    <row r="148" spans="1:9" ht="14.25">
      <c r="A148" s="274"/>
      <c r="B148" s="51" t="s">
        <v>72</v>
      </c>
      <c r="C148" s="212" t="s">
        <v>73</v>
      </c>
      <c r="D148" s="212">
        <v>4000</v>
      </c>
      <c r="E148" s="269">
        <v>3</v>
      </c>
      <c r="F148" s="216">
        <v>0.12</v>
      </c>
      <c r="G148" s="215">
        <f t="shared" si="8"/>
        <v>1440</v>
      </c>
      <c r="H148" s="219">
        <f t="shared" si="7"/>
        <v>22342.653023763978</v>
      </c>
      <c r="I148" s="51"/>
    </row>
    <row r="149" spans="1:9" ht="14.25">
      <c r="A149" s="273"/>
      <c r="B149" s="268" t="s">
        <v>74</v>
      </c>
      <c r="C149" s="212" t="s">
        <v>73</v>
      </c>
      <c r="D149" s="212">
        <v>1000</v>
      </c>
      <c r="E149" s="269">
        <v>2</v>
      </c>
      <c r="F149" s="216">
        <v>0.062</v>
      </c>
      <c r="G149" s="215">
        <f t="shared" si="8"/>
        <v>124</v>
      </c>
      <c r="H149" s="219">
        <f t="shared" si="7"/>
        <v>1923.9506770463424</v>
      </c>
      <c r="I149" s="51"/>
    </row>
    <row r="150" spans="1:9" ht="14.25">
      <c r="A150" s="274"/>
      <c r="B150" s="51" t="s">
        <v>75</v>
      </c>
      <c r="C150" s="212" t="s">
        <v>71</v>
      </c>
      <c r="D150" s="212">
        <v>1000</v>
      </c>
      <c r="E150" s="269">
        <v>3</v>
      </c>
      <c r="F150" s="216">
        <v>0.04</v>
      </c>
      <c r="G150" s="215">
        <f t="shared" si="8"/>
        <v>120</v>
      </c>
      <c r="H150" s="219">
        <f t="shared" si="7"/>
        <v>1861.8877519803314</v>
      </c>
      <c r="I150" s="51"/>
    </row>
    <row r="151" spans="1:9" ht="14.25">
      <c r="A151" s="274"/>
      <c r="B151" s="51" t="s">
        <v>76</v>
      </c>
      <c r="C151" s="212" t="s">
        <v>71</v>
      </c>
      <c r="D151" s="212">
        <v>4000</v>
      </c>
      <c r="E151" s="269">
        <v>1</v>
      </c>
      <c r="F151" s="216">
        <v>0.03</v>
      </c>
      <c r="G151" s="215">
        <f t="shared" si="8"/>
        <v>120</v>
      </c>
      <c r="H151" s="219">
        <f t="shared" si="7"/>
        <v>1861.8877519803314</v>
      </c>
      <c r="I151" s="51"/>
    </row>
    <row r="152" spans="1:9" ht="14.25">
      <c r="A152" s="274"/>
      <c r="B152" s="51" t="s">
        <v>77</v>
      </c>
      <c r="C152" s="212" t="s">
        <v>71</v>
      </c>
      <c r="D152" s="212">
        <v>4000</v>
      </c>
      <c r="E152" s="269">
        <v>1</v>
      </c>
      <c r="F152" s="216">
        <v>0.036</v>
      </c>
      <c r="G152" s="215">
        <f t="shared" si="8"/>
        <v>144</v>
      </c>
      <c r="H152" s="219">
        <f t="shared" si="7"/>
        <v>2234.265302376398</v>
      </c>
      <c r="I152" s="51"/>
    </row>
    <row r="153" spans="1:9" ht="14.25">
      <c r="A153" s="274"/>
      <c r="B153" s="51" t="s">
        <v>78</v>
      </c>
      <c r="C153" s="212" t="s">
        <v>71</v>
      </c>
      <c r="D153" s="212">
        <v>50</v>
      </c>
      <c r="E153" s="269">
        <v>2</v>
      </c>
      <c r="F153" s="216">
        <v>0.019</v>
      </c>
      <c r="G153" s="215">
        <f t="shared" si="8"/>
        <v>1.9</v>
      </c>
      <c r="H153" s="219">
        <f t="shared" si="7"/>
        <v>29.479889406355245</v>
      </c>
      <c r="I153" s="51"/>
    </row>
    <row r="154" spans="1:9" ht="14.25">
      <c r="A154" s="274"/>
      <c r="B154" s="51" t="s">
        <v>79</v>
      </c>
      <c r="C154" s="212" t="s">
        <v>71</v>
      </c>
      <c r="D154" s="212">
        <v>4000</v>
      </c>
      <c r="E154" s="269">
        <v>1</v>
      </c>
      <c r="F154" s="216">
        <v>0.056</v>
      </c>
      <c r="G154" s="215">
        <f t="shared" si="8"/>
        <v>224</v>
      </c>
      <c r="H154" s="219">
        <f t="shared" si="7"/>
        <v>3475.5238036966184</v>
      </c>
      <c r="I154" s="51"/>
    </row>
    <row r="155" spans="1:9" ht="14.25">
      <c r="A155" s="256"/>
      <c r="B155" s="51" t="s">
        <v>81</v>
      </c>
      <c r="C155" s="212" t="s">
        <v>80</v>
      </c>
      <c r="D155" s="212">
        <v>5</v>
      </c>
      <c r="E155" s="269">
        <v>1</v>
      </c>
      <c r="F155" s="216">
        <v>19.2</v>
      </c>
      <c r="G155" s="215">
        <f t="shared" si="8"/>
        <v>96</v>
      </c>
      <c r="H155" s="219">
        <f t="shared" si="7"/>
        <v>1489.5102015842651</v>
      </c>
      <c r="I155" s="51"/>
    </row>
    <row r="156" spans="1:9" ht="14.25">
      <c r="A156" s="256"/>
      <c r="B156" s="51" t="s">
        <v>249</v>
      </c>
      <c r="C156" s="212" t="s">
        <v>61</v>
      </c>
      <c r="D156" s="212">
        <v>2222</v>
      </c>
      <c r="E156" s="269">
        <v>1</v>
      </c>
      <c r="F156" s="216">
        <v>1</v>
      </c>
      <c r="G156" s="215">
        <v>2222</v>
      </c>
      <c r="H156" s="219">
        <f t="shared" si="7"/>
        <v>34475.95487416914</v>
      </c>
      <c r="I156" s="51" t="s">
        <v>552</v>
      </c>
    </row>
    <row r="157" spans="1:9" ht="12.75">
      <c r="A157" s="256">
        <v>3</v>
      </c>
      <c r="B157" s="47" t="s">
        <v>118</v>
      </c>
      <c r="C157" s="212"/>
      <c r="D157" s="212"/>
      <c r="E157" s="215"/>
      <c r="F157" s="215"/>
      <c r="G157" s="215"/>
      <c r="H157" s="219">
        <f t="shared" si="7"/>
        <v>0</v>
      </c>
      <c r="I157" s="51"/>
    </row>
    <row r="158" spans="1:9" ht="14.25">
      <c r="A158" s="274"/>
      <c r="B158" s="51" t="s">
        <v>86</v>
      </c>
      <c r="C158" s="212" t="s">
        <v>73</v>
      </c>
      <c r="D158" s="212">
        <v>2000</v>
      </c>
      <c r="E158" s="269">
        <v>3</v>
      </c>
      <c r="F158" s="216">
        <v>0.099</v>
      </c>
      <c r="G158" s="215">
        <f aca="true" t="shared" si="9" ref="G158:G163">D158*E158*F158</f>
        <v>594</v>
      </c>
      <c r="H158" s="219">
        <f t="shared" si="7"/>
        <v>9216.344372302641</v>
      </c>
      <c r="I158" s="51"/>
    </row>
    <row r="159" spans="1:9" ht="14.25">
      <c r="A159" s="256"/>
      <c r="B159" s="51" t="s">
        <v>87</v>
      </c>
      <c r="C159" s="212" t="s">
        <v>73</v>
      </c>
      <c r="D159" s="212">
        <v>4000</v>
      </c>
      <c r="E159" s="269">
        <v>1</v>
      </c>
      <c r="F159" s="216">
        <v>0.048</v>
      </c>
      <c r="G159" s="215">
        <f t="shared" si="9"/>
        <v>192</v>
      </c>
      <c r="H159" s="219">
        <f t="shared" si="7"/>
        <v>2979.0204031685303</v>
      </c>
      <c r="I159" s="51"/>
    </row>
    <row r="160" spans="1:9" ht="14.25">
      <c r="A160" s="273"/>
      <c r="B160" s="268" t="s">
        <v>88</v>
      </c>
      <c r="C160" s="212" t="s">
        <v>80</v>
      </c>
      <c r="D160" s="212">
        <v>67100</v>
      </c>
      <c r="E160" s="269">
        <v>3</v>
      </c>
      <c r="F160" s="216">
        <v>0.056</v>
      </c>
      <c r="G160" s="261">
        <f t="shared" si="9"/>
        <v>11272.800000000001</v>
      </c>
      <c r="H160" s="219">
        <f t="shared" si="7"/>
        <v>174905.73542103235</v>
      </c>
      <c r="I160" s="51"/>
    </row>
    <row r="161" spans="1:9" ht="14.25">
      <c r="A161" s="256"/>
      <c r="B161" s="51" t="s">
        <v>89</v>
      </c>
      <c r="C161" s="212" t="s">
        <v>80</v>
      </c>
      <c r="D161" s="212">
        <v>80000</v>
      </c>
      <c r="E161" s="269">
        <v>1</v>
      </c>
      <c r="F161" s="216">
        <v>0.026</v>
      </c>
      <c r="G161" s="261">
        <f t="shared" si="9"/>
        <v>2080</v>
      </c>
      <c r="H161" s="219">
        <f t="shared" si="7"/>
        <v>32272.721034325743</v>
      </c>
      <c r="I161" s="51"/>
    </row>
    <row r="162" spans="1:9" ht="14.25">
      <c r="A162" s="256"/>
      <c r="B162" s="51" t="s">
        <v>90</v>
      </c>
      <c r="C162" s="212" t="s">
        <v>80</v>
      </c>
      <c r="D162" s="212">
        <v>50000</v>
      </c>
      <c r="E162" s="269">
        <v>1</v>
      </c>
      <c r="F162" s="216">
        <v>0.013</v>
      </c>
      <c r="G162" s="261">
        <f t="shared" si="9"/>
        <v>650</v>
      </c>
      <c r="H162" s="219">
        <f t="shared" si="7"/>
        <v>10085.225323226796</v>
      </c>
      <c r="I162" s="51"/>
    </row>
    <row r="163" spans="1:9" ht="14.25">
      <c r="A163" s="256"/>
      <c r="B163" s="51" t="s">
        <v>91</v>
      </c>
      <c r="C163" s="212" t="s">
        <v>66</v>
      </c>
      <c r="D163" s="212">
        <v>22834</v>
      </c>
      <c r="E163" s="269">
        <v>3</v>
      </c>
      <c r="F163" s="216">
        <v>0.156</v>
      </c>
      <c r="G163" s="261">
        <f t="shared" si="9"/>
        <v>10686.312</v>
      </c>
      <c r="H163" s="219">
        <f t="shared" si="7"/>
        <v>165805.94522200365</v>
      </c>
      <c r="I163" s="51"/>
    </row>
    <row r="164" spans="1:9" ht="14.25">
      <c r="A164" s="256"/>
      <c r="B164" s="51" t="s">
        <v>422</v>
      </c>
      <c r="C164" s="212" t="s">
        <v>61</v>
      </c>
      <c r="D164" s="212">
        <v>710</v>
      </c>
      <c r="E164" s="269">
        <v>1</v>
      </c>
      <c r="F164" s="216">
        <v>1</v>
      </c>
      <c r="G164" s="261">
        <v>710</v>
      </c>
      <c r="H164" s="219">
        <f t="shared" si="7"/>
        <v>11016.169199216962</v>
      </c>
      <c r="I164" s="51" t="s">
        <v>553</v>
      </c>
    </row>
    <row r="165" spans="1:9" ht="14.25">
      <c r="A165" s="256"/>
      <c r="B165" s="51" t="s">
        <v>423</v>
      </c>
      <c r="C165" s="212" t="s">
        <v>61</v>
      </c>
      <c r="D165" s="212">
        <v>800</v>
      </c>
      <c r="E165" s="269">
        <v>1</v>
      </c>
      <c r="F165" s="216">
        <v>1</v>
      </c>
      <c r="G165" s="261">
        <v>800</v>
      </c>
      <c r="H165" s="219">
        <f t="shared" si="7"/>
        <v>12412.58501320221</v>
      </c>
      <c r="I165" s="51" t="s">
        <v>554</v>
      </c>
    </row>
    <row r="166" spans="1:9" ht="12.75">
      <c r="A166" s="256">
        <v>4</v>
      </c>
      <c r="B166" s="47" t="s">
        <v>97</v>
      </c>
      <c r="C166" s="212"/>
      <c r="D166" s="212"/>
      <c r="E166" s="215"/>
      <c r="F166" s="215"/>
      <c r="G166" s="215"/>
      <c r="H166" s="219">
        <f t="shared" si="7"/>
        <v>0</v>
      </c>
      <c r="I166" s="51"/>
    </row>
    <row r="167" spans="1:10" ht="14.25">
      <c r="A167" s="256"/>
      <c r="B167" s="51" t="s">
        <v>98</v>
      </c>
      <c r="C167" s="212" t="s">
        <v>73</v>
      </c>
      <c r="D167" s="212">
        <v>5762</v>
      </c>
      <c r="E167" s="269">
        <v>2</v>
      </c>
      <c r="F167" s="216">
        <v>0.137</v>
      </c>
      <c r="G167" s="261">
        <f aca="true" t="shared" si="10" ref="G167:G177">D167*E167*F167</f>
        <v>1578.788</v>
      </c>
      <c r="H167" s="219">
        <f aca="true" t="shared" si="11" ref="H167:H183">917978/59164.34*G167</f>
        <v>24496.050334779364</v>
      </c>
      <c r="I167" s="51"/>
      <c r="J167" s="181">
        <f>3*600*4</f>
        <v>7200</v>
      </c>
    </row>
    <row r="168" spans="1:10" ht="14.25">
      <c r="A168" s="256"/>
      <c r="B168" s="51" t="s">
        <v>99</v>
      </c>
      <c r="C168" s="212" t="s">
        <v>53</v>
      </c>
      <c r="D168" s="212">
        <v>70</v>
      </c>
      <c r="E168" s="269">
        <v>1</v>
      </c>
      <c r="F168" s="216">
        <v>3.448</v>
      </c>
      <c r="G168" s="261">
        <f t="shared" si="10"/>
        <v>241.35999999999999</v>
      </c>
      <c r="H168" s="219">
        <f t="shared" si="11"/>
        <v>3744.8768984831063</v>
      </c>
      <c r="I168" s="51"/>
      <c r="J168" s="181">
        <f>J167*1.3677</f>
        <v>9847.439999999999</v>
      </c>
    </row>
    <row r="169" spans="1:9" ht="14.25">
      <c r="A169" s="273"/>
      <c r="B169" s="268" t="s">
        <v>100</v>
      </c>
      <c r="C169" s="212" t="s">
        <v>53</v>
      </c>
      <c r="D169" s="212">
        <v>80</v>
      </c>
      <c r="E169" s="269">
        <v>3</v>
      </c>
      <c r="F169" s="216">
        <v>6.667</v>
      </c>
      <c r="G169" s="261">
        <f t="shared" si="10"/>
        <v>1600.08</v>
      </c>
      <c r="H169" s="219">
        <f t="shared" si="11"/>
        <v>24826.41128490574</v>
      </c>
      <c r="I169" s="51"/>
    </row>
    <row r="170" spans="1:9" ht="14.25">
      <c r="A170" s="256"/>
      <c r="B170" s="51" t="s">
        <v>101</v>
      </c>
      <c r="C170" s="212" t="s">
        <v>53</v>
      </c>
      <c r="D170" s="212">
        <v>99.11</v>
      </c>
      <c r="E170" s="269">
        <v>4</v>
      </c>
      <c r="F170" s="216">
        <v>0.273</v>
      </c>
      <c r="G170" s="261">
        <f t="shared" si="10"/>
        <v>108.22812</v>
      </c>
      <c r="H170" s="219">
        <f t="shared" si="11"/>
        <v>1679.238425398813</v>
      </c>
      <c r="I170" s="51"/>
    </row>
    <row r="171" spans="1:9" ht="14.25">
      <c r="A171" s="256"/>
      <c r="B171" s="51" t="s">
        <v>102</v>
      </c>
      <c r="C171" s="212" t="s">
        <v>66</v>
      </c>
      <c r="D171" s="212">
        <v>35000</v>
      </c>
      <c r="E171" s="269">
        <v>1</v>
      </c>
      <c r="F171" s="216">
        <v>0.02</v>
      </c>
      <c r="G171" s="261">
        <f t="shared" si="10"/>
        <v>700</v>
      </c>
      <c r="H171" s="219">
        <f t="shared" si="11"/>
        <v>10861.011886551933</v>
      </c>
      <c r="I171" s="51"/>
    </row>
    <row r="172" spans="1:9" ht="25.5">
      <c r="A172" s="273"/>
      <c r="B172" s="268" t="s">
        <v>103</v>
      </c>
      <c r="C172" s="212" t="s">
        <v>73</v>
      </c>
      <c r="D172" s="212">
        <v>1000</v>
      </c>
      <c r="E172" s="269">
        <v>1</v>
      </c>
      <c r="F172" s="216">
        <v>0.126</v>
      </c>
      <c r="G172" s="261">
        <f t="shared" si="10"/>
        <v>126</v>
      </c>
      <c r="H172" s="219">
        <f t="shared" si="11"/>
        <v>1954.982139579348</v>
      </c>
      <c r="I172" s="51"/>
    </row>
    <row r="173" spans="1:9" ht="14.25">
      <c r="A173" s="273"/>
      <c r="B173" s="268" t="s">
        <v>104</v>
      </c>
      <c r="C173" s="212" t="s">
        <v>105</v>
      </c>
      <c r="D173" s="212">
        <v>100</v>
      </c>
      <c r="E173" s="269">
        <v>1</v>
      </c>
      <c r="F173" s="216">
        <v>7.111</v>
      </c>
      <c r="G173" s="261">
        <f t="shared" si="10"/>
        <v>711.1</v>
      </c>
      <c r="H173" s="219">
        <f t="shared" si="11"/>
        <v>11033.236503610115</v>
      </c>
      <c r="I173" s="51"/>
    </row>
    <row r="174" spans="1:9" ht="14.25">
      <c r="A174" s="256"/>
      <c r="B174" s="268" t="s">
        <v>106</v>
      </c>
      <c r="C174" s="212" t="s">
        <v>105</v>
      </c>
      <c r="D174" s="212">
        <v>15</v>
      </c>
      <c r="E174" s="269">
        <v>1</v>
      </c>
      <c r="F174" s="216">
        <v>7.822</v>
      </c>
      <c r="G174" s="261">
        <f t="shared" si="10"/>
        <v>117.33</v>
      </c>
      <c r="H174" s="219">
        <f t="shared" si="11"/>
        <v>1820.460749498769</v>
      </c>
      <c r="I174" s="51"/>
    </row>
    <row r="175" spans="1:9" ht="14.25">
      <c r="A175" s="256"/>
      <c r="B175" s="51" t="s">
        <v>107</v>
      </c>
      <c r="C175" s="212" t="s">
        <v>80</v>
      </c>
      <c r="D175" s="212">
        <v>1000</v>
      </c>
      <c r="E175" s="269">
        <v>1</v>
      </c>
      <c r="F175" s="216">
        <v>0.067</v>
      </c>
      <c r="G175" s="261">
        <f t="shared" si="10"/>
        <v>67</v>
      </c>
      <c r="H175" s="219">
        <f t="shared" si="11"/>
        <v>1039.553994855685</v>
      </c>
      <c r="I175" s="51"/>
    </row>
    <row r="176" spans="1:9" ht="14.25">
      <c r="A176" s="256"/>
      <c r="B176" s="51" t="s">
        <v>108</v>
      </c>
      <c r="C176" s="212" t="s">
        <v>84</v>
      </c>
      <c r="D176" s="212">
        <v>144</v>
      </c>
      <c r="E176" s="269">
        <v>1</v>
      </c>
      <c r="F176" s="216">
        <v>1.111</v>
      </c>
      <c r="G176" s="261">
        <f t="shared" si="10"/>
        <v>159.984</v>
      </c>
      <c r="H176" s="219">
        <f t="shared" si="11"/>
        <v>2482.268750940178</v>
      </c>
      <c r="I176" s="51"/>
    </row>
    <row r="177" spans="1:9" ht="14.25">
      <c r="A177" s="256"/>
      <c r="B177" s="51" t="s">
        <v>109</v>
      </c>
      <c r="C177" s="212" t="s">
        <v>73</v>
      </c>
      <c r="D177" s="212">
        <v>2738</v>
      </c>
      <c r="E177" s="269">
        <v>1</v>
      </c>
      <c r="F177" s="216">
        <v>0.034</v>
      </c>
      <c r="G177" s="261">
        <f t="shared" si="10"/>
        <v>93.09200000000001</v>
      </c>
      <c r="H177" s="219">
        <f t="shared" si="11"/>
        <v>1444.3904550612754</v>
      </c>
      <c r="I177" s="51"/>
    </row>
    <row r="178" spans="1:9" ht="14.25">
      <c r="A178" s="256"/>
      <c r="B178" s="51" t="s">
        <v>477</v>
      </c>
      <c r="C178" s="212" t="s">
        <v>61</v>
      </c>
      <c r="D178" s="212">
        <v>1364</v>
      </c>
      <c r="E178" s="269">
        <v>1</v>
      </c>
      <c r="F178" s="216">
        <v>1</v>
      </c>
      <c r="G178" s="261">
        <v>1364</v>
      </c>
      <c r="H178" s="219">
        <f t="shared" si="11"/>
        <v>21163.45744750977</v>
      </c>
      <c r="I178" s="51" t="s">
        <v>555</v>
      </c>
    </row>
    <row r="179" spans="1:9" ht="12.75">
      <c r="A179" s="256">
        <v>5</v>
      </c>
      <c r="B179" s="47" t="s">
        <v>111</v>
      </c>
      <c r="C179" s="212"/>
      <c r="D179" s="212"/>
      <c r="E179" s="215"/>
      <c r="F179" s="215"/>
      <c r="G179" s="215"/>
      <c r="H179" s="219">
        <f t="shared" si="11"/>
        <v>0</v>
      </c>
      <c r="I179" s="51"/>
    </row>
    <row r="180" spans="1:9" ht="14.25">
      <c r="A180" s="212"/>
      <c r="B180" s="51" t="s">
        <v>112</v>
      </c>
      <c r="C180" s="212" t="s">
        <v>53</v>
      </c>
      <c r="D180" s="220">
        <v>700</v>
      </c>
      <c r="E180" s="269">
        <v>5</v>
      </c>
      <c r="F180" s="216">
        <v>0.65</v>
      </c>
      <c r="G180" s="215">
        <f>D180*E180*F180</f>
        <v>2275</v>
      </c>
      <c r="H180" s="219">
        <f t="shared" si="11"/>
        <v>35298.288631293784</v>
      </c>
      <c r="I180" s="51"/>
    </row>
    <row r="181" spans="1:9" ht="14.25">
      <c r="A181" s="212"/>
      <c r="B181" s="51" t="s">
        <v>115</v>
      </c>
      <c r="C181" s="212" t="s">
        <v>61</v>
      </c>
      <c r="D181" s="212">
        <v>40</v>
      </c>
      <c r="E181" s="269">
        <v>5</v>
      </c>
      <c r="F181" s="216">
        <v>1</v>
      </c>
      <c r="G181" s="215">
        <f>D181*E181*F181</f>
        <v>200</v>
      </c>
      <c r="H181" s="219">
        <f t="shared" si="11"/>
        <v>3103.1462533005524</v>
      </c>
      <c r="I181" s="51"/>
    </row>
    <row r="182" spans="1:9" ht="14.25">
      <c r="A182" s="212"/>
      <c r="B182" s="51" t="s">
        <v>116</v>
      </c>
      <c r="C182" s="212" t="s">
        <v>61</v>
      </c>
      <c r="D182" s="212">
        <f>30*8</f>
        <v>240</v>
      </c>
      <c r="E182" s="269">
        <v>8</v>
      </c>
      <c r="F182" s="216">
        <v>1</v>
      </c>
      <c r="G182" s="215">
        <f>D182*E182*F182</f>
        <v>1920</v>
      </c>
      <c r="H182" s="219">
        <f t="shared" si="11"/>
        <v>29790.2040316853</v>
      </c>
      <c r="I182" s="51"/>
    </row>
    <row r="183" spans="1:9" ht="14.25">
      <c r="A183" s="212"/>
      <c r="B183" s="93" t="s">
        <v>413</v>
      </c>
      <c r="C183" s="224"/>
      <c r="D183" s="224"/>
      <c r="E183" s="269"/>
      <c r="F183" s="216"/>
      <c r="G183" s="245">
        <f>SUM(G135:G182)</f>
        <v>58464.33912</v>
      </c>
      <c r="H183" s="218">
        <f t="shared" si="11"/>
        <v>907116.9744596045</v>
      </c>
      <c r="I183" s="51"/>
    </row>
    <row r="184" spans="1:9" ht="14.25">
      <c r="A184" s="212">
        <v>6</v>
      </c>
      <c r="B184" s="93" t="s">
        <v>505</v>
      </c>
      <c r="C184" s="212"/>
      <c r="D184" s="212"/>
      <c r="E184" s="269"/>
      <c r="F184" s="216"/>
      <c r="G184" s="205" t="s">
        <v>476</v>
      </c>
      <c r="H184" s="219"/>
      <c r="I184" s="51"/>
    </row>
    <row r="185" spans="1:9" ht="14.25">
      <c r="A185" s="212"/>
      <c r="B185" s="51" t="s">
        <v>543</v>
      </c>
      <c r="C185" s="215" t="s">
        <v>476</v>
      </c>
      <c r="D185" s="212">
        <v>290</v>
      </c>
      <c r="E185" s="269">
        <v>1</v>
      </c>
      <c r="F185" s="216">
        <v>1</v>
      </c>
      <c r="G185" s="212">
        <v>290</v>
      </c>
      <c r="H185" s="219">
        <f aca="true" t="shared" si="12" ref="H185:H192">917978/59164.34*G185</f>
        <v>4499.562067285801</v>
      </c>
      <c r="I185" s="51"/>
    </row>
    <row r="186" spans="1:9" ht="25.5">
      <c r="A186" s="212"/>
      <c r="B186" s="268" t="s">
        <v>546</v>
      </c>
      <c r="C186" s="215" t="s">
        <v>476</v>
      </c>
      <c r="D186" s="212">
        <v>210</v>
      </c>
      <c r="E186" s="269">
        <v>1</v>
      </c>
      <c r="F186" s="216">
        <v>1</v>
      </c>
      <c r="G186" s="212">
        <v>210</v>
      </c>
      <c r="H186" s="219">
        <f t="shared" si="12"/>
        <v>3258.3035659655798</v>
      </c>
      <c r="I186" s="51"/>
    </row>
    <row r="187" spans="1:9" ht="14.25">
      <c r="A187" s="212"/>
      <c r="B187" s="51" t="s">
        <v>444</v>
      </c>
      <c r="C187" s="215" t="s">
        <v>476</v>
      </c>
      <c r="D187" s="212">
        <v>30</v>
      </c>
      <c r="E187" s="269">
        <v>1</v>
      </c>
      <c r="F187" s="216">
        <v>1</v>
      </c>
      <c r="G187" s="212">
        <v>30</v>
      </c>
      <c r="H187" s="219">
        <f t="shared" si="12"/>
        <v>465.47193799508284</v>
      </c>
      <c r="I187" s="51"/>
    </row>
    <row r="188" spans="1:9" ht="14.25">
      <c r="A188" s="212"/>
      <c r="B188" s="51" t="s">
        <v>521</v>
      </c>
      <c r="C188" s="215" t="s">
        <v>476</v>
      </c>
      <c r="D188" s="212">
        <v>30</v>
      </c>
      <c r="E188" s="269">
        <v>1</v>
      </c>
      <c r="F188" s="216">
        <v>1</v>
      </c>
      <c r="G188" s="212">
        <v>30</v>
      </c>
      <c r="H188" s="219">
        <f t="shared" si="12"/>
        <v>465.47193799508284</v>
      </c>
      <c r="I188" s="51"/>
    </row>
    <row r="189" spans="1:9" ht="14.25">
      <c r="A189" s="212"/>
      <c r="B189" s="51" t="s">
        <v>445</v>
      </c>
      <c r="C189" s="215" t="s">
        <v>476</v>
      </c>
      <c r="D189" s="212">
        <v>40</v>
      </c>
      <c r="E189" s="269">
        <v>1</v>
      </c>
      <c r="F189" s="216">
        <v>1</v>
      </c>
      <c r="G189" s="212">
        <v>40</v>
      </c>
      <c r="H189" s="219">
        <f t="shared" si="12"/>
        <v>620.6292506601105</v>
      </c>
      <c r="I189" s="51"/>
    </row>
    <row r="190" spans="1:9" ht="14.25">
      <c r="A190" s="212"/>
      <c r="B190" s="51" t="s">
        <v>488</v>
      </c>
      <c r="C190" s="215" t="s">
        <v>476</v>
      </c>
      <c r="D190" s="212">
        <v>24</v>
      </c>
      <c r="E190" s="269">
        <v>1</v>
      </c>
      <c r="F190" s="216">
        <v>1</v>
      </c>
      <c r="G190" s="212">
        <v>24</v>
      </c>
      <c r="H190" s="219">
        <f t="shared" si="12"/>
        <v>372.3775503960663</v>
      </c>
      <c r="I190" s="51"/>
    </row>
    <row r="191" spans="1:9" ht="14.25">
      <c r="A191" s="212"/>
      <c r="B191" s="51" t="s">
        <v>446</v>
      </c>
      <c r="C191" s="215" t="s">
        <v>476</v>
      </c>
      <c r="D191" s="212">
        <v>60</v>
      </c>
      <c r="E191" s="269">
        <v>1</v>
      </c>
      <c r="F191" s="216">
        <v>1</v>
      </c>
      <c r="G191" s="212">
        <v>60</v>
      </c>
      <c r="H191" s="219">
        <f t="shared" si="12"/>
        <v>930.9438759901657</v>
      </c>
      <c r="I191" s="51"/>
    </row>
    <row r="192" spans="1:9" ht="14.25">
      <c r="A192" s="212"/>
      <c r="B192" s="51" t="s">
        <v>489</v>
      </c>
      <c r="C192" s="215" t="s">
        <v>476</v>
      </c>
      <c r="D192" s="212">
        <v>16</v>
      </c>
      <c r="E192" s="269">
        <v>1</v>
      </c>
      <c r="F192" s="216">
        <v>1</v>
      </c>
      <c r="G192" s="212">
        <v>16</v>
      </c>
      <c r="H192" s="219">
        <f t="shared" si="12"/>
        <v>248.2517002640442</v>
      </c>
      <c r="I192" s="51"/>
    </row>
    <row r="193" spans="1:9" ht="14.25">
      <c r="A193" s="212"/>
      <c r="B193" s="47" t="s">
        <v>413</v>
      </c>
      <c r="C193" s="215"/>
      <c r="D193" s="212"/>
      <c r="E193" s="269"/>
      <c r="F193" s="216"/>
      <c r="G193" s="208">
        <f>SUM(G185:G192)</f>
        <v>700</v>
      </c>
      <c r="H193" s="218">
        <f>SUM(H185:H192)</f>
        <v>10861.011886551933</v>
      </c>
      <c r="I193" s="51"/>
    </row>
    <row r="194" spans="1:9" ht="15">
      <c r="A194" s="212"/>
      <c r="B194" s="93" t="s">
        <v>524</v>
      </c>
      <c r="C194" s="215"/>
      <c r="D194" s="212"/>
      <c r="E194" s="269"/>
      <c r="F194" s="216"/>
      <c r="G194" s="240">
        <f>G183+G193</f>
        <v>59164.33912</v>
      </c>
      <c r="H194" s="254">
        <f>H183+H193</f>
        <v>917977.9863461565</v>
      </c>
      <c r="I194" s="51"/>
    </row>
    <row r="195" spans="1:9" ht="12.75">
      <c r="A195" s="212">
        <v>7</v>
      </c>
      <c r="B195" s="47" t="s">
        <v>120</v>
      </c>
      <c r="C195" s="51"/>
      <c r="D195" s="51"/>
      <c r="E195" s="205"/>
      <c r="F195" s="205"/>
      <c r="G195" s="207">
        <f>G196+G197+G198</f>
        <v>1442</v>
      </c>
      <c r="H195" s="235">
        <f>H196+H197+H198</f>
        <v>17250</v>
      </c>
      <c r="I195" s="205" t="s">
        <v>386</v>
      </c>
    </row>
    <row r="196" spans="1:9" ht="12.75">
      <c r="A196" s="212"/>
      <c r="B196" s="51" t="s">
        <v>243</v>
      </c>
      <c r="C196" s="212" t="s">
        <v>242</v>
      </c>
      <c r="D196" s="205">
        <v>746</v>
      </c>
      <c r="E196" s="215"/>
      <c r="F196" s="215"/>
      <c r="G196" s="260">
        <v>507</v>
      </c>
      <c r="H196" s="235">
        <f>1496+4513+1659</f>
        <v>7668</v>
      </c>
      <c r="I196" s="205" t="s">
        <v>334</v>
      </c>
    </row>
    <row r="197" spans="1:9" ht="12.75">
      <c r="A197" s="212"/>
      <c r="B197" s="51" t="s">
        <v>244</v>
      </c>
      <c r="C197" s="212" t="s">
        <v>53</v>
      </c>
      <c r="D197" s="212">
        <v>8.15</v>
      </c>
      <c r="E197" s="215"/>
      <c r="F197" s="215"/>
      <c r="G197" s="260">
        <v>224</v>
      </c>
      <c r="H197" s="235">
        <f>234+2073+762</f>
        <v>3069</v>
      </c>
      <c r="I197" s="205" t="s">
        <v>335</v>
      </c>
    </row>
    <row r="198" spans="1:9" ht="12.75">
      <c r="A198" s="212"/>
      <c r="B198" s="51" t="s">
        <v>246</v>
      </c>
      <c r="C198" s="212" t="s">
        <v>53</v>
      </c>
      <c r="D198" s="205">
        <v>75</v>
      </c>
      <c r="E198" s="215"/>
      <c r="F198" s="215"/>
      <c r="G198" s="260">
        <v>711</v>
      </c>
      <c r="H198" s="235">
        <f>1500+1594+2500+919</f>
        <v>6513</v>
      </c>
      <c r="I198" s="205" t="s">
        <v>333</v>
      </c>
    </row>
    <row r="199" spans="1:9" ht="12.75">
      <c r="A199" s="205"/>
      <c r="B199" s="47" t="s">
        <v>228</v>
      </c>
      <c r="C199" s="212"/>
      <c r="D199" s="205"/>
      <c r="E199" s="205"/>
      <c r="F199" s="205"/>
      <c r="G199" s="272"/>
      <c r="H199" s="235">
        <f>H200+H201</f>
        <v>9000</v>
      </c>
      <c r="I199" s="51"/>
    </row>
    <row r="200" spans="1:9" ht="12.75">
      <c r="A200" s="205"/>
      <c r="B200" s="47" t="s">
        <v>121</v>
      </c>
      <c r="C200" s="212" t="s">
        <v>80</v>
      </c>
      <c r="D200" s="215"/>
      <c r="E200" s="215"/>
      <c r="F200" s="215"/>
      <c r="G200" s="260"/>
      <c r="H200" s="223">
        <v>0</v>
      </c>
      <c r="I200" s="51"/>
    </row>
    <row r="201" spans="1:9" ht="12.75">
      <c r="A201" s="205"/>
      <c r="B201" s="47" t="s">
        <v>492</v>
      </c>
      <c r="C201" s="212" t="s">
        <v>80</v>
      </c>
      <c r="D201" s="215">
        <v>2</v>
      </c>
      <c r="E201" s="215"/>
      <c r="F201" s="215"/>
      <c r="G201" s="260"/>
      <c r="H201" s="223">
        <v>9000</v>
      </c>
      <c r="I201" s="51"/>
    </row>
    <row r="202" spans="1:10" ht="15">
      <c r="A202" s="205"/>
      <c r="B202" s="93" t="s">
        <v>276</v>
      </c>
      <c r="C202" s="231"/>
      <c r="D202" s="231"/>
      <c r="E202" s="231"/>
      <c r="F202" s="231"/>
      <c r="G202" s="245"/>
      <c r="H202" s="206">
        <f>H194+H195+H199</f>
        <v>944227.9863461565</v>
      </c>
      <c r="I202" s="51"/>
      <c r="J202" s="225"/>
    </row>
    <row r="203" spans="1:9" ht="12.75">
      <c r="A203" s="421" t="s">
        <v>221</v>
      </c>
      <c r="B203" s="422"/>
      <c r="C203" s="422"/>
      <c r="D203" s="422"/>
      <c r="E203" s="422"/>
      <c r="F203" s="422"/>
      <c r="G203" s="422"/>
      <c r="H203" s="422"/>
      <c r="I203" s="51"/>
    </row>
    <row r="204" spans="1:9" ht="12.75">
      <c r="A204" s="421" t="s">
        <v>265</v>
      </c>
      <c r="B204" s="422"/>
      <c r="C204" s="422"/>
      <c r="D204" s="422"/>
      <c r="E204" s="422"/>
      <c r="F204" s="422"/>
      <c r="G204" s="422"/>
      <c r="H204" s="422"/>
      <c r="I204" s="51"/>
    </row>
    <row r="205" spans="1:9" ht="12.75">
      <c r="A205" s="212">
        <v>1</v>
      </c>
      <c r="B205" s="51" t="s">
        <v>127</v>
      </c>
      <c r="C205" s="212" t="s">
        <v>53</v>
      </c>
      <c r="D205" s="211">
        <f>379+2.05+7</f>
        <v>388.05</v>
      </c>
      <c r="E205" s="271">
        <v>220</v>
      </c>
      <c r="F205" s="243">
        <v>0.162</v>
      </c>
      <c r="G205" s="261">
        <f aca="true" t="shared" si="13" ref="G205:G231">D205*E205*F205</f>
        <v>13830.102</v>
      </c>
      <c r="H205" s="219">
        <f aca="true" t="shared" si="14" ref="H205:H231">481166/40423.48*G205</f>
        <v>164621.52340501113</v>
      </c>
      <c r="I205" s="51"/>
    </row>
    <row r="206" spans="1:9" ht="12.75">
      <c r="A206" s="212">
        <v>2</v>
      </c>
      <c r="B206" s="51" t="s">
        <v>128</v>
      </c>
      <c r="C206" s="212" t="s">
        <v>53</v>
      </c>
      <c r="D206" s="212">
        <v>498.66</v>
      </c>
      <c r="E206" s="271">
        <v>180</v>
      </c>
      <c r="F206" s="243">
        <v>0.03</v>
      </c>
      <c r="G206" s="261">
        <f t="shared" si="13"/>
        <v>2692.764</v>
      </c>
      <c r="H206" s="219">
        <f t="shared" si="14"/>
        <v>32052.324115192456</v>
      </c>
      <c r="I206" s="51"/>
    </row>
    <row r="207" spans="1:9" ht="12.75">
      <c r="A207" s="212">
        <v>3</v>
      </c>
      <c r="B207" s="51" t="s">
        <v>129</v>
      </c>
      <c r="C207" s="212" t="s">
        <v>80</v>
      </c>
      <c r="D207" s="212">
        <v>205</v>
      </c>
      <c r="E207" s="243">
        <v>220</v>
      </c>
      <c r="F207" s="243">
        <v>0.125</v>
      </c>
      <c r="G207" s="261">
        <f t="shared" si="13"/>
        <v>5637.5</v>
      </c>
      <c r="H207" s="219">
        <f t="shared" si="14"/>
        <v>67103.90409237402</v>
      </c>
      <c r="I207" s="51"/>
    </row>
    <row r="208" spans="1:9" ht="12.75">
      <c r="A208" s="212">
        <v>4</v>
      </c>
      <c r="B208" s="51" t="s">
        <v>130</v>
      </c>
      <c r="C208" s="212" t="s">
        <v>53</v>
      </c>
      <c r="D208" s="212">
        <v>406.39</v>
      </c>
      <c r="E208" s="243">
        <v>3</v>
      </c>
      <c r="F208" s="243">
        <v>1.6</v>
      </c>
      <c r="G208" s="261">
        <f t="shared" si="13"/>
        <v>1950.6720000000003</v>
      </c>
      <c r="H208" s="219">
        <f t="shared" si="14"/>
        <v>23219.10541972141</v>
      </c>
      <c r="I208" s="51"/>
    </row>
    <row r="209" spans="1:9" ht="12.75">
      <c r="A209" s="212">
        <v>5</v>
      </c>
      <c r="B209" s="51" t="s">
        <v>131</v>
      </c>
      <c r="C209" s="212"/>
      <c r="D209" s="212"/>
      <c r="E209" s="243"/>
      <c r="F209" s="243"/>
      <c r="G209" s="261">
        <f t="shared" si="13"/>
        <v>0</v>
      </c>
      <c r="H209" s="219">
        <f t="shared" si="14"/>
        <v>0</v>
      </c>
      <c r="I209" s="51"/>
    </row>
    <row r="210" spans="1:9" ht="12.75">
      <c r="A210" s="212"/>
      <c r="B210" s="51" t="s">
        <v>132</v>
      </c>
      <c r="C210" s="212" t="s">
        <v>73</v>
      </c>
      <c r="D210" s="212">
        <v>4523</v>
      </c>
      <c r="E210" s="243">
        <v>1</v>
      </c>
      <c r="F210" s="243">
        <v>0.19</v>
      </c>
      <c r="G210" s="261">
        <f t="shared" si="13"/>
        <v>859.37</v>
      </c>
      <c r="H210" s="219">
        <f t="shared" si="14"/>
        <v>10229.19415696026</v>
      </c>
      <c r="I210" s="51"/>
    </row>
    <row r="211" spans="1:9" ht="12.75">
      <c r="A211" s="212"/>
      <c r="B211" s="51" t="s">
        <v>133</v>
      </c>
      <c r="C211" s="212" t="s">
        <v>73</v>
      </c>
      <c r="D211" s="212">
        <v>1802.4</v>
      </c>
      <c r="E211" s="243">
        <v>1</v>
      </c>
      <c r="F211" s="243">
        <v>0.263</v>
      </c>
      <c r="G211" s="261">
        <f t="shared" si="13"/>
        <v>474.03120000000007</v>
      </c>
      <c r="H211" s="219">
        <f t="shared" si="14"/>
        <v>5642.455730659508</v>
      </c>
      <c r="I211" s="51"/>
    </row>
    <row r="212" spans="1:9" ht="12.75">
      <c r="A212" s="212">
        <v>6</v>
      </c>
      <c r="B212" s="51" t="s">
        <v>134</v>
      </c>
      <c r="C212" s="212" t="s">
        <v>135</v>
      </c>
      <c r="D212" s="212">
        <v>3.5</v>
      </c>
      <c r="E212" s="243">
        <v>14</v>
      </c>
      <c r="F212" s="243">
        <v>1.35</v>
      </c>
      <c r="G212" s="261">
        <f t="shared" si="13"/>
        <v>66.15</v>
      </c>
      <c r="H212" s="219">
        <f t="shared" si="14"/>
        <v>787.3921517890097</v>
      </c>
      <c r="I212" s="51"/>
    </row>
    <row r="213" spans="1:9" ht="12.75">
      <c r="A213" s="212">
        <v>7</v>
      </c>
      <c r="B213" s="51" t="s">
        <v>136</v>
      </c>
      <c r="C213" s="212" t="s">
        <v>84</v>
      </c>
      <c r="D213" s="212">
        <v>2</v>
      </c>
      <c r="E213" s="243">
        <v>12</v>
      </c>
      <c r="F213" s="243">
        <v>2.1</v>
      </c>
      <c r="G213" s="261">
        <f t="shared" si="13"/>
        <v>50.400000000000006</v>
      </c>
      <c r="H213" s="219">
        <f t="shared" si="14"/>
        <v>599.9178299344836</v>
      </c>
      <c r="I213" s="51"/>
    </row>
    <row r="214" spans="1:9" ht="12.75">
      <c r="A214" s="212">
        <v>8</v>
      </c>
      <c r="B214" s="51" t="s">
        <v>137</v>
      </c>
      <c r="C214" s="212" t="s">
        <v>135</v>
      </c>
      <c r="D214" s="212">
        <v>1.5</v>
      </c>
      <c r="E214" s="243">
        <v>50</v>
      </c>
      <c r="F214" s="243">
        <v>2.75</v>
      </c>
      <c r="G214" s="261">
        <f t="shared" si="13"/>
        <v>206.25</v>
      </c>
      <c r="H214" s="219">
        <f t="shared" si="14"/>
        <v>2455.0208814283183</v>
      </c>
      <c r="I214" s="51"/>
    </row>
    <row r="215" spans="1:9" ht="12.75">
      <c r="A215" s="212">
        <v>9</v>
      </c>
      <c r="B215" s="51" t="s">
        <v>138</v>
      </c>
      <c r="C215" s="212" t="s">
        <v>135</v>
      </c>
      <c r="D215" s="212">
        <v>1.5</v>
      </c>
      <c r="E215" s="243">
        <v>50</v>
      </c>
      <c r="F215" s="243">
        <v>3.25</v>
      </c>
      <c r="G215" s="261">
        <f t="shared" si="13"/>
        <v>243.75</v>
      </c>
      <c r="H215" s="219">
        <f t="shared" si="14"/>
        <v>2901.388314415285</v>
      </c>
      <c r="I215" s="51"/>
    </row>
    <row r="216" spans="1:9" ht="12.75">
      <c r="A216" s="212">
        <v>10</v>
      </c>
      <c r="B216" s="51" t="s">
        <v>139</v>
      </c>
      <c r="C216" s="212" t="s">
        <v>53</v>
      </c>
      <c r="D216" s="212">
        <v>249.56</v>
      </c>
      <c r="E216" s="243">
        <v>12</v>
      </c>
      <c r="F216" s="243">
        <v>0.03</v>
      </c>
      <c r="G216" s="261">
        <f t="shared" si="13"/>
        <v>89.8416</v>
      </c>
      <c r="H216" s="219">
        <f t="shared" si="14"/>
        <v>1069.3963831317838</v>
      </c>
      <c r="I216" s="51"/>
    </row>
    <row r="217" spans="1:9" ht="12.75">
      <c r="A217" s="212">
        <v>11</v>
      </c>
      <c r="B217" s="51" t="s">
        <v>140</v>
      </c>
      <c r="C217" s="212" t="s">
        <v>53</v>
      </c>
      <c r="D217" s="212">
        <v>169.47</v>
      </c>
      <c r="E217" s="243">
        <v>40</v>
      </c>
      <c r="F217" s="243">
        <v>0.03</v>
      </c>
      <c r="G217" s="261">
        <f t="shared" si="13"/>
        <v>203.364</v>
      </c>
      <c r="H217" s="219">
        <f t="shared" si="14"/>
        <v>2420.668443785641</v>
      </c>
      <c r="I217" s="51"/>
    </row>
    <row r="218" spans="1:9" ht="12.75">
      <c r="A218" s="212">
        <v>12</v>
      </c>
      <c r="B218" s="51" t="s">
        <v>141</v>
      </c>
      <c r="C218" s="212" t="s">
        <v>53</v>
      </c>
      <c r="D218" s="212">
        <v>4.45</v>
      </c>
      <c r="E218" s="243">
        <v>6</v>
      </c>
      <c r="F218" s="243">
        <v>6.25</v>
      </c>
      <c r="G218" s="261">
        <f t="shared" si="13"/>
        <v>166.87500000000003</v>
      </c>
      <c r="H218" s="219">
        <f t="shared" si="14"/>
        <v>1986.335076792003</v>
      </c>
      <c r="I218" s="51"/>
    </row>
    <row r="219" spans="1:9" ht="12.75">
      <c r="A219" s="212">
        <v>13</v>
      </c>
      <c r="B219" s="51" t="s">
        <v>142</v>
      </c>
      <c r="C219" s="212" t="s">
        <v>73</v>
      </c>
      <c r="D219" s="212">
        <v>495</v>
      </c>
      <c r="E219" s="243">
        <v>6</v>
      </c>
      <c r="F219" s="243">
        <v>0.075</v>
      </c>
      <c r="G219" s="261">
        <f t="shared" si="13"/>
        <v>222.75</v>
      </c>
      <c r="H219" s="219">
        <f t="shared" si="14"/>
        <v>2651.4225519425836</v>
      </c>
      <c r="I219" s="51"/>
    </row>
    <row r="220" spans="1:9" ht="12.75">
      <c r="A220" s="212">
        <v>14</v>
      </c>
      <c r="B220" s="51" t="s">
        <v>143</v>
      </c>
      <c r="C220" s="212" t="s">
        <v>53</v>
      </c>
      <c r="D220" s="212">
        <v>377.28</v>
      </c>
      <c r="E220" s="243">
        <v>6</v>
      </c>
      <c r="F220" s="243">
        <v>0.427</v>
      </c>
      <c r="G220" s="261">
        <f t="shared" si="13"/>
        <v>966.5913599999999</v>
      </c>
      <c r="H220" s="219">
        <f t="shared" si="14"/>
        <v>11505.464109615497</v>
      </c>
      <c r="I220" s="51"/>
    </row>
    <row r="221" spans="1:9" ht="12.75">
      <c r="A221" s="212">
        <v>15</v>
      </c>
      <c r="B221" s="51" t="s">
        <v>144</v>
      </c>
      <c r="C221" s="212" t="s">
        <v>53</v>
      </c>
      <c r="D221" s="212">
        <v>377.32</v>
      </c>
      <c r="E221" s="243">
        <v>6</v>
      </c>
      <c r="F221" s="243">
        <v>1.6</v>
      </c>
      <c r="G221" s="261">
        <f t="shared" si="13"/>
        <v>3622.2720000000004</v>
      </c>
      <c r="H221" s="219">
        <f t="shared" si="14"/>
        <v>43116.380112548446</v>
      </c>
      <c r="I221" s="51"/>
    </row>
    <row r="222" spans="1:9" ht="12.75">
      <c r="A222" s="212">
        <v>16</v>
      </c>
      <c r="B222" s="51" t="s">
        <v>145</v>
      </c>
      <c r="C222" s="212"/>
      <c r="D222" s="212"/>
      <c r="E222" s="243"/>
      <c r="F222" s="243"/>
      <c r="G222" s="261">
        <f t="shared" si="13"/>
        <v>0</v>
      </c>
      <c r="H222" s="219">
        <f t="shared" si="14"/>
        <v>0</v>
      </c>
      <c r="I222" s="51"/>
    </row>
    <row r="223" spans="1:9" ht="12.75">
      <c r="A223" s="212"/>
      <c r="B223" s="51" t="s">
        <v>146</v>
      </c>
      <c r="C223" s="212"/>
      <c r="D223" s="212"/>
      <c r="E223" s="243"/>
      <c r="F223" s="243"/>
      <c r="G223" s="261">
        <f t="shared" si="13"/>
        <v>0</v>
      </c>
      <c r="H223" s="219">
        <f t="shared" si="14"/>
        <v>0</v>
      </c>
      <c r="I223" s="51"/>
    </row>
    <row r="224" spans="1:9" ht="12.75">
      <c r="A224" s="212"/>
      <c r="B224" s="51" t="s">
        <v>147</v>
      </c>
      <c r="C224" s="212" t="s">
        <v>53</v>
      </c>
      <c r="D224" s="212">
        <v>73.35</v>
      </c>
      <c r="E224" s="243">
        <v>42</v>
      </c>
      <c r="F224" s="243">
        <v>1.21</v>
      </c>
      <c r="G224" s="261">
        <f t="shared" si="13"/>
        <v>3727.6469999999995</v>
      </c>
      <c r="H224" s="219">
        <f t="shared" si="14"/>
        <v>44370.672599241814</v>
      </c>
      <c r="I224" s="51"/>
    </row>
    <row r="225" spans="1:9" ht="12.75">
      <c r="A225" s="212"/>
      <c r="B225" s="51" t="s">
        <v>148</v>
      </c>
      <c r="C225" s="212" t="s">
        <v>53</v>
      </c>
      <c r="D225" s="212">
        <v>73.35</v>
      </c>
      <c r="E225" s="243">
        <v>20</v>
      </c>
      <c r="F225" s="243">
        <v>1.43</v>
      </c>
      <c r="G225" s="261">
        <f t="shared" si="13"/>
        <v>2097.81</v>
      </c>
      <c r="H225" s="219">
        <f t="shared" si="14"/>
        <v>24970.50838918371</v>
      </c>
      <c r="I225" s="51"/>
    </row>
    <row r="226" spans="1:9" ht="12.75">
      <c r="A226" s="212">
        <v>17</v>
      </c>
      <c r="B226" s="51" t="s">
        <v>149</v>
      </c>
      <c r="C226" s="212" t="s">
        <v>53</v>
      </c>
      <c r="D226" s="212">
        <v>79.3</v>
      </c>
      <c r="E226" s="243">
        <v>40</v>
      </c>
      <c r="F226" s="243">
        <v>0.4</v>
      </c>
      <c r="G226" s="261">
        <f t="shared" si="13"/>
        <v>1268.8000000000002</v>
      </c>
      <c r="H226" s="219">
        <f t="shared" si="14"/>
        <v>15102.693305969698</v>
      </c>
      <c r="I226" s="51"/>
    </row>
    <row r="227" spans="1:9" ht="12.75">
      <c r="A227" s="212">
        <v>18</v>
      </c>
      <c r="B227" s="51" t="s">
        <v>150</v>
      </c>
      <c r="C227" s="212" t="s">
        <v>80</v>
      </c>
      <c r="D227" s="212">
        <v>140</v>
      </c>
      <c r="E227" s="243">
        <v>20</v>
      </c>
      <c r="F227" s="243">
        <v>0.04</v>
      </c>
      <c r="G227" s="261">
        <f t="shared" si="13"/>
        <v>112</v>
      </c>
      <c r="H227" s="219">
        <f t="shared" si="14"/>
        <v>1333.1507331877413</v>
      </c>
      <c r="I227" s="51"/>
    </row>
    <row r="228" spans="1:9" ht="12.75">
      <c r="A228" s="212">
        <v>19</v>
      </c>
      <c r="B228" s="51" t="s">
        <v>151</v>
      </c>
      <c r="C228" s="212"/>
      <c r="D228" s="212"/>
      <c r="E228" s="243"/>
      <c r="F228" s="243"/>
      <c r="G228" s="261">
        <f t="shared" si="13"/>
        <v>0</v>
      </c>
      <c r="H228" s="219">
        <f t="shared" si="14"/>
        <v>0</v>
      </c>
      <c r="I228" s="51"/>
    </row>
    <row r="229" spans="1:9" ht="12.75">
      <c r="A229" s="212"/>
      <c r="B229" s="51" t="s">
        <v>152</v>
      </c>
      <c r="C229" s="212" t="s">
        <v>65</v>
      </c>
      <c r="D229" s="212">
        <v>6.8</v>
      </c>
      <c r="E229" s="243">
        <v>6</v>
      </c>
      <c r="F229" s="243">
        <v>0.92</v>
      </c>
      <c r="G229" s="261">
        <f t="shared" si="13"/>
        <v>37.536</v>
      </c>
      <c r="H229" s="219">
        <f t="shared" si="14"/>
        <v>446.7959457226344</v>
      </c>
      <c r="I229" s="51"/>
    </row>
    <row r="230" spans="1:9" ht="12.75">
      <c r="A230" s="212">
        <v>20</v>
      </c>
      <c r="B230" s="270" t="s">
        <v>414</v>
      </c>
      <c r="C230" s="212" t="s">
        <v>80</v>
      </c>
      <c r="D230" s="212">
        <v>200</v>
      </c>
      <c r="E230" s="243">
        <v>1</v>
      </c>
      <c r="F230" s="243">
        <v>0.115</v>
      </c>
      <c r="G230" s="261">
        <f t="shared" si="13"/>
        <v>23</v>
      </c>
      <c r="H230" s="219">
        <f t="shared" si="14"/>
        <v>273.77202556533973</v>
      </c>
      <c r="I230" s="51"/>
    </row>
    <row r="231" spans="1:9" ht="12.75">
      <c r="A231" s="212">
        <v>21</v>
      </c>
      <c r="B231" s="51" t="s">
        <v>153</v>
      </c>
      <c r="C231" s="212" t="s">
        <v>61</v>
      </c>
      <c r="D231" s="212">
        <f>21*8</f>
        <v>168</v>
      </c>
      <c r="E231" s="243">
        <v>8</v>
      </c>
      <c r="F231" s="243">
        <v>1</v>
      </c>
      <c r="G231" s="261">
        <f t="shared" si="13"/>
        <v>1344</v>
      </c>
      <c r="H231" s="219">
        <f t="shared" si="14"/>
        <v>15997.808798252894</v>
      </c>
      <c r="I231" s="51"/>
    </row>
    <row r="232" spans="1:9" ht="12.75">
      <c r="A232" s="212"/>
      <c r="B232" s="47" t="s">
        <v>362</v>
      </c>
      <c r="C232" s="212"/>
      <c r="D232" s="212"/>
      <c r="E232" s="243"/>
      <c r="F232" s="243"/>
      <c r="G232" s="207">
        <f>SUM(G205:G231)</f>
        <v>39893.476160000006</v>
      </c>
      <c r="H232" s="242">
        <f>SUM(H205:H231)</f>
        <v>474857.29457242554</v>
      </c>
      <c r="I232" s="51"/>
    </row>
    <row r="233" spans="1:9" ht="12.75">
      <c r="A233" s="212">
        <v>22</v>
      </c>
      <c r="B233" s="93" t="s">
        <v>508</v>
      </c>
      <c r="C233" s="212"/>
      <c r="D233" s="212"/>
      <c r="E233" s="243"/>
      <c r="F233" s="243"/>
      <c r="G233" s="215" t="s">
        <v>476</v>
      </c>
      <c r="H233" s="219"/>
      <c r="I233" s="51"/>
    </row>
    <row r="234" spans="1:9" ht="12.75">
      <c r="A234" s="212"/>
      <c r="B234" s="51" t="s">
        <v>542</v>
      </c>
      <c r="C234" s="215" t="s">
        <v>476</v>
      </c>
      <c r="D234" s="212">
        <v>400</v>
      </c>
      <c r="E234" s="243">
        <v>1</v>
      </c>
      <c r="F234" s="243">
        <v>1</v>
      </c>
      <c r="G234" s="212">
        <v>400</v>
      </c>
      <c r="H234" s="219">
        <f>481166/40423.48*G234</f>
        <v>4761.252618527647</v>
      </c>
      <c r="I234" s="51"/>
    </row>
    <row r="235" spans="1:9" ht="12.75">
      <c r="A235" s="212"/>
      <c r="B235" s="51" t="s">
        <v>451</v>
      </c>
      <c r="C235" s="215" t="s">
        <v>476</v>
      </c>
      <c r="D235" s="212">
        <v>60</v>
      </c>
      <c r="E235" s="243">
        <v>1</v>
      </c>
      <c r="F235" s="243">
        <v>1</v>
      </c>
      <c r="G235" s="212">
        <v>60</v>
      </c>
      <c r="H235" s="219">
        <f>481166/40423.48*G235</f>
        <v>714.1878927791471</v>
      </c>
      <c r="I235" s="51"/>
    </row>
    <row r="236" spans="1:9" ht="12.75">
      <c r="A236" s="212"/>
      <c r="B236" s="51" t="s">
        <v>452</v>
      </c>
      <c r="C236" s="215" t="s">
        <v>476</v>
      </c>
      <c r="D236" s="212">
        <v>20</v>
      </c>
      <c r="E236" s="243">
        <v>1</v>
      </c>
      <c r="F236" s="243">
        <v>1</v>
      </c>
      <c r="G236" s="212">
        <v>20</v>
      </c>
      <c r="H236" s="219">
        <f>481166/40423.48*G236</f>
        <v>238.06263092638235</v>
      </c>
      <c r="I236" s="51"/>
    </row>
    <row r="237" spans="1:9" ht="12.75">
      <c r="A237" s="212"/>
      <c r="B237" s="51" t="s">
        <v>453</v>
      </c>
      <c r="C237" s="215" t="s">
        <v>476</v>
      </c>
      <c r="D237" s="212">
        <v>50</v>
      </c>
      <c r="E237" s="243">
        <v>1</v>
      </c>
      <c r="F237" s="243">
        <v>1</v>
      </c>
      <c r="G237" s="212">
        <v>50</v>
      </c>
      <c r="H237" s="219">
        <f>481166/40423.48*G237</f>
        <v>595.1565773159559</v>
      </c>
      <c r="I237" s="51"/>
    </row>
    <row r="238" spans="1:9" ht="12.75">
      <c r="A238" s="212"/>
      <c r="B238" s="47" t="s">
        <v>413</v>
      </c>
      <c r="C238" s="212"/>
      <c r="D238" s="212"/>
      <c r="E238" s="243"/>
      <c r="F238" s="243"/>
      <c r="G238" s="207">
        <f>SUM(G234:G237)</f>
        <v>530</v>
      </c>
      <c r="H238" s="219">
        <f>481166/40423.48*G238</f>
        <v>6308.659719549132</v>
      </c>
      <c r="I238" s="51"/>
    </row>
    <row r="239" spans="1:9" ht="15">
      <c r="A239" s="212"/>
      <c r="B239" s="93" t="s">
        <v>525</v>
      </c>
      <c r="C239" s="212"/>
      <c r="D239" s="212"/>
      <c r="E239" s="243"/>
      <c r="F239" s="243"/>
      <c r="G239" s="259">
        <f>G232+G238</f>
        <v>40423.476160000006</v>
      </c>
      <c r="H239" s="206">
        <f>H232+H238</f>
        <v>481165.95429197466</v>
      </c>
      <c r="I239" s="51"/>
    </row>
    <row r="240" spans="1:9" ht="14.25">
      <c r="A240" s="212">
        <v>23</v>
      </c>
      <c r="B240" s="93" t="s">
        <v>154</v>
      </c>
      <c r="C240" s="224"/>
      <c r="D240" s="224"/>
      <c r="E240" s="269"/>
      <c r="F240" s="231"/>
      <c r="G240" s="245">
        <f>G241+G242+G243+G244+G245+G246+G247</f>
        <v>6303</v>
      </c>
      <c r="H240" s="245">
        <f>H241+H242+H243+H244+H245+H246+H247</f>
        <v>102983</v>
      </c>
      <c r="I240" s="205" t="s">
        <v>386</v>
      </c>
    </row>
    <row r="241" spans="1:9" ht="12.75">
      <c r="A241" s="212"/>
      <c r="B241" s="51" t="s">
        <v>540</v>
      </c>
      <c r="C241" s="208" t="s">
        <v>53</v>
      </c>
      <c r="D241" s="208">
        <f>7.3+0.12+0.69+0.14+0.2+0.08</f>
        <v>8.53</v>
      </c>
      <c r="E241" s="205"/>
      <c r="F241" s="205"/>
      <c r="G241" s="260">
        <v>999</v>
      </c>
      <c r="H241" s="255">
        <f>4391+3000+9913+3645</f>
        <v>20949</v>
      </c>
      <c r="I241" s="208" t="s">
        <v>341</v>
      </c>
    </row>
    <row r="242" spans="1:9" ht="12.75">
      <c r="A242" s="212"/>
      <c r="B242" s="51" t="s">
        <v>193</v>
      </c>
      <c r="C242" s="208" t="s">
        <v>53</v>
      </c>
      <c r="D242" s="208">
        <v>135.26</v>
      </c>
      <c r="E242" s="205"/>
      <c r="F242" s="205"/>
      <c r="G242" s="260">
        <v>3717</v>
      </c>
      <c r="H242" s="255">
        <f>3840+34401+12649</f>
        <v>50890</v>
      </c>
      <c r="I242" s="208" t="s">
        <v>336</v>
      </c>
    </row>
    <row r="243" spans="1:9" ht="12.75">
      <c r="A243" s="212"/>
      <c r="B243" s="51" t="s">
        <v>261</v>
      </c>
      <c r="C243" s="208" t="s">
        <v>53</v>
      </c>
      <c r="D243" s="205">
        <f>0.04+0.1025+0.11+0.02</f>
        <v>0.2725</v>
      </c>
      <c r="E243" s="205"/>
      <c r="F243" s="205"/>
      <c r="G243" s="260">
        <v>88</v>
      </c>
      <c r="H243" s="255">
        <f>504+928+341+40</f>
        <v>1813</v>
      </c>
      <c r="I243" s="208" t="s">
        <v>340</v>
      </c>
    </row>
    <row r="244" spans="1:9" ht="12.75">
      <c r="A244" s="212"/>
      <c r="B244" s="51" t="s">
        <v>262</v>
      </c>
      <c r="C244" s="208" t="s">
        <v>53</v>
      </c>
      <c r="D244" s="205">
        <v>0.31</v>
      </c>
      <c r="E244" s="205"/>
      <c r="F244" s="205"/>
      <c r="G244" s="260">
        <v>30</v>
      </c>
      <c r="H244" s="255">
        <f>111+293+108</f>
        <v>512</v>
      </c>
      <c r="I244" s="208" t="s">
        <v>337</v>
      </c>
    </row>
    <row r="245" spans="1:9" ht="12.75">
      <c r="A245" s="212"/>
      <c r="B245" s="268" t="s">
        <v>338</v>
      </c>
      <c r="C245" s="210" t="s">
        <v>53</v>
      </c>
      <c r="D245" s="231">
        <v>0.04</v>
      </c>
      <c r="E245" s="231"/>
      <c r="F245" s="231"/>
      <c r="G245" s="252">
        <v>6</v>
      </c>
      <c r="H245" s="267">
        <f>30+62+23</f>
        <v>115</v>
      </c>
      <c r="I245" s="210" t="s">
        <v>339</v>
      </c>
    </row>
    <row r="246" spans="1:9" ht="12.75">
      <c r="A246" s="212"/>
      <c r="B246" s="51" t="s">
        <v>359</v>
      </c>
      <c r="C246" s="208" t="s">
        <v>53</v>
      </c>
      <c r="D246" s="205">
        <f>3.95+1.7+0.3+0.1+1+0.9+0.2</f>
        <v>8.15</v>
      </c>
      <c r="E246" s="205"/>
      <c r="F246" s="205"/>
      <c r="G246" s="260">
        <v>1230</v>
      </c>
      <c r="H246" s="255">
        <f>4846+142+1470+12261+4508</f>
        <v>23227</v>
      </c>
      <c r="I246" s="208" t="s">
        <v>360</v>
      </c>
    </row>
    <row r="247" spans="1:9" ht="12.75">
      <c r="A247" s="212"/>
      <c r="B247" s="51" t="s">
        <v>417</v>
      </c>
      <c r="C247" s="208" t="s">
        <v>53</v>
      </c>
      <c r="D247" s="205">
        <v>0.396</v>
      </c>
      <c r="E247" s="205"/>
      <c r="F247" s="205"/>
      <c r="G247" s="260">
        <v>233</v>
      </c>
      <c r="H247" s="255">
        <f>1981+2556+940</f>
        <v>5477</v>
      </c>
      <c r="I247" s="208" t="s">
        <v>418</v>
      </c>
    </row>
    <row r="248" spans="1:9" ht="12.75">
      <c r="A248" s="212">
        <v>24</v>
      </c>
      <c r="B248" s="47" t="s">
        <v>228</v>
      </c>
      <c r="C248" s="208"/>
      <c r="D248" s="205"/>
      <c r="E248" s="205"/>
      <c r="F248" s="205"/>
      <c r="G248" s="207"/>
      <c r="H248" s="255">
        <f>H249</f>
        <v>7700</v>
      </c>
      <c r="I248" s="51"/>
    </row>
    <row r="249" spans="1:9" ht="12.75">
      <c r="A249" s="212"/>
      <c r="B249" s="47" t="s">
        <v>264</v>
      </c>
      <c r="C249" s="208" t="s">
        <v>80</v>
      </c>
      <c r="D249" s="205">
        <v>7</v>
      </c>
      <c r="E249" s="215"/>
      <c r="F249" s="215"/>
      <c r="G249" s="260"/>
      <c r="H249" s="255">
        <v>7700</v>
      </c>
      <c r="I249" s="51"/>
    </row>
    <row r="250" spans="1:9" ht="15">
      <c r="A250" s="266"/>
      <c r="B250" s="93" t="s">
        <v>219</v>
      </c>
      <c r="C250" s="266"/>
      <c r="D250" s="266"/>
      <c r="E250" s="231"/>
      <c r="F250" s="231"/>
      <c r="H250" s="265">
        <f>H239+H240+H248</f>
        <v>591848.9542919747</v>
      </c>
      <c r="I250" s="264"/>
    </row>
    <row r="251" spans="1:9" ht="12.75">
      <c r="A251" s="423" t="s">
        <v>222</v>
      </c>
      <c r="B251" s="424"/>
      <c r="C251" s="424"/>
      <c r="D251" s="424"/>
      <c r="E251" s="424"/>
      <c r="F251" s="424"/>
      <c r="G251" s="424"/>
      <c r="H251" s="424"/>
      <c r="I251" s="51"/>
    </row>
    <row r="252" spans="1:9" ht="12.75">
      <c r="A252" s="401" t="s">
        <v>21</v>
      </c>
      <c r="B252" s="395"/>
      <c r="C252" s="395"/>
      <c r="D252" s="395"/>
      <c r="E252" s="395"/>
      <c r="F252" s="395"/>
      <c r="G252" s="395"/>
      <c r="H252" s="395"/>
      <c r="I252" s="51"/>
    </row>
    <row r="253" spans="1:9" ht="15">
      <c r="A253" s="227">
        <v>1</v>
      </c>
      <c r="B253" s="263" t="s">
        <v>274</v>
      </c>
      <c r="C253" s="215"/>
      <c r="D253" s="215"/>
      <c r="E253" s="215"/>
      <c r="F253" s="215"/>
      <c r="G253" s="207"/>
      <c r="H253" s="233">
        <f>247587+15000</f>
        <v>262587</v>
      </c>
      <c r="I253" s="51"/>
    </row>
    <row r="254" spans="1:9" ht="12.75">
      <c r="A254" s="227">
        <v>3</v>
      </c>
      <c r="B254" s="226" t="s">
        <v>548</v>
      </c>
      <c r="D254" s="215"/>
      <c r="E254" s="215"/>
      <c r="F254" s="215"/>
      <c r="G254" s="260"/>
      <c r="H254" s="223"/>
      <c r="I254" s="51"/>
    </row>
    <row r="255" spans="1:9" ht="12.75">
      <c r="A255" s="227"/>
      <c r="B255" s="51" t="s">
        <v>559</v>
      </c>
      <c r="C255" s="215" t="s">
        <v>324</v>
      </c>
      <c r="D255" s="215">
        <v>500</v>
      </c>
      <c r="E255" s="215">
        <v>1</v>
      </c>
      <c r="F255" s="215">
        <v>0.3</v>
      </c>
      <c r="G255" s="261">
        <f aca="true" t="shared" si="15" ref="G255:G276">D255*E255*F255</f>
        <v>150</v>
      </c>
      <c r="H255" s="219">
        <f aca="true" t="shared" si="16" ref="H255:H278">159054/5568.59*G255</f>
        <v>4284.405926814507</v>
      </c>
      <c r="I255" s="51"/>
    </row>
    <row r="256" spans="1:9" ht="12.75">
      <c r="A256" s="227"/>
      <c r="B256" s="51" t="s">
        <v>302</v>
      </c>
      <c r="C256" s="215"/>
      <c r="D256" s="215">
        <v>956</v>
      </c>
      <c r="E256" s="215">
        <v>1</v>
      </c>
      <c r="F256" s="215">
        <v>0.3</v>
      </c>
      <c r="G256" s="261">
        <f t="shared" si="15"/>
        <v>286.8</v>
      </c>
      <c r="H256" s="219">
        <f t="shared" si="16"/>
        <v>8191.784132069339</v>
      </c>
      <c r="I256" s="51"/>
    </row>
    <row r="257" spans="1:9" ht="12.75">
      <c r="A257" s="227"/>
      <c r="B257" s="51" t="s">
        <v>303</v>
      </c>
      <c r="C257" s="215"/>
      <c r="D257" s="215">
        <v>956</v>
      </c>
      <c r="E257" s="215">
        <v>1</v>
      </c>
      <c r="F257" s="215">
        <v>0.2</v>
      </c>
      <c r="G257" s="261">
        <f t="shared" si="15"/>
        <v>191.20000000000002</v>
      </c>
      <c r="H257" s="219">
        <f t="shared" si="16"/>
        <v>5461.1894213795595</v>
      </c>
      <c r="I257" s="51"/>
    </row>
    <row r="258" spans="1:9" ht="12.75">
      <c r="A258" s="227"/>
      <c r="B258" s="51" t="s">
        <v>304</v>
      </c>
      <c r="C258" s="215"/>
      <c r="D258" s="215"/>
      <c r="E258" s="215"/>
      <c r="F258" s="215"/>
      <c r="G258" s="261">
        <f t="shared" si="15"/>
        <v>0</v>
      </c>
      <c r="H258" s="219">
        <f t="shared" si="16"/>
        <v>0</v>
      </c>
      <c r="I258" s="51"/>
    </row>
    <row r="259" spans="1:9" ht="12.75">
      <c r="A259" s="262"/>
      <c r="B259" s="47" t="s">
        <v>305</v>
      </c>
      <c r="C259" s="215"/>
      <c r="D259" s="215"/>
      <c r="E259" s="215"/>
      <c r="F259" s="215"/>
      <c r="G259" s="261">
        <f t="shared" si="15"/>
        <v>0</v>
      </c>
      <c r="H259" s="219">
        <f t="shared" si="16"/>
        <v>0</v>
      </c>
      <c r="I259" s="51"/>
    </row>
    <row r="260" spans="1:9" ht="12.75">
      <c r="A260" s="227"/>
      <c r="B260" s="51" t="s">
        <v>306</v>
      </c>
      <c r="C260" s="215" t="s">
        <v>325</v>
      </c>
      <c r="D260" s="215">
        <v>243</v>
      </c>
      <c r="E260" s="215">
        <v>3</v>
      </c>
      <c r="F260" s="215">
        <v>0.1</v>
      </c>
      <c r="G260" s="261">
        <f t="shared" si="15"/>
        <v>72.9</v>
      </c>
      <c r="H260" s="219">
        <f t="shared" si="16"/>
        <v>2082.221280431851</v>
      </c>
      <c r="I260" s="51"/>
    </row>
    <row r="261" spans="1:9" ht="12.75">
      <c r="A261" s="227"/>
      <c r="B261" s="51" t="s">
        <v>531</v>
      </c>
      <c r="C261" s="215"/>
      <c r="D261" s="215">
        <v>243</v>
      </c>
      <c r="E261" s="215">
        <v>2</v>
      </c>
      <c r="F261" s="215">
        <v>0.2</v>
      </c>
      <c r="G261" s="261">
        <f t="shared" si="15"/>
        <v>97.2</v>
      </c>
      <c r="H261" s="219">
        <f t="shared" si="16"/>
        <v>2776.295040575801</v>
      </c>
      <c r="I261" s="51"/>
    </row>
    <row r="262" spans="1:9" ht="12.75">
      <c r="A262" s="227"/>
      <c r="B262" s="51" t="s">
        <v>308</v>
      </c>
      <c r="C262" s="215"/>
      <c r="D262" s="215">
        <v>243</v>
      </c>
      <c r="E262" s="215">
        <v>1</v>
      </c>
      <c r="F262" s="215">
        <v>0.1</v>
      </c>
      <c r="G262" s="261">
        <f t="shared" si="15"/>
        <v>24.3</v>
      </c>
      <c r="H262" s="219">
        <f t="shared" si="16"/>
        <v>694.0737601439503</v>
      </c>
      <c r="I262" s="51"/>
    </row>
    <row r="263" spans="1:9" ht="12.75">
      <c r="A263" s="227"/>
      <c r="B263" s="47" t="s">
        <v>309</v>
      </c>
      <c r="C263" s="215"/>
      <c r="D263" s="215"/>
      <c r="E263" s="215"/>
      <c r="F263" s="215"/>
      <c r="G263" s="261">
        <f t="shared" si="15"/>
        <v>0</v>
      </c>
      <c r="H263" s="219">
        <f t="shared" si="16"/>
        <v>0</v>
      </c>
      <c r="I263" s="51"/>
    </row>
    <row r="264" spans="1:9" ht="12.75">
      <c r="A264" s="227"/>
      <c r="B264" s="51" t="s">
        <v>310</v>
      </c>
      <c r="C264" s="215" t="s">
        <v>325</v>
      </c>
      <c r="D264" s="215">
        <v>725</v>
      </c>
      <c r="E264" s="215">
        <v>3</v>
      </c>
      <c r="F264" s="215">
        <v>0.15</v>
      </c>
      <c r="G264" s="261">
        <f t="shared" si="15"/>
        <v>326.25</v>
      </c>
      <c r="H264" s="219">
        <f t="shared" si="16"/>
        <v>9318.582890821554</v>
      </c>
      <c r="I264" s="51"/>
    </row>
    <row r="265" spans="1:9" ht="12.75">
      <c r="A265" s="227"/>
      <c r="B265" s="51" t="s">
        <v>532</v>
      </c>
      <c r="C265" s="215"/>
      <c r="D265" s="215">
        <v>725</v>
      </c>
      <c r="E265" s="215">
        <v>2</v>
      </c>
      <c r="F265" s="215">
        <v>0.6</v>
      </c>
      <c r="G265" s="261">
        <f t="shared" si="15"/>
        <v>870</v>
      </c>
      <c r="H265" s="219">
        <f t="shared" si="16"/>
        <v>24849.554375524145</v>
      </c>
      <c r="I265" s="51"/>
    </row>
    <row r="266" spans="1:9" ht="12.75">
      <c r="A266" s="227"/>
      <c r="B266" s="51" t="s">
        <v>308</v>
      </c>
      <c r="C266" s="215"/>
      <c r="D266" s="215">
        <v>725</v>
      </c>
      <c r="E266" s="215">
        <v>1</v>
      </c>
      <c r="F266" s="215">
        <v>0.1</v>
      </c>
      <c r="G266" s="261">
        <f t="shared" si="15"/>
        <v>72.5</v>
      </c>
      <c r="H266" s="219">
        <f t="shared" si="16"/>
        <v>2070.7961979603456</v>
      </c>
      <c r="I266" s="51"/>
    </row>
    <row r="267" spans="1:9" ht="12.75">
      <c r="A267" s="227"/>
      <c r="B267" s="47" t="s">
        <v>313</v>
      </c>
      <c r="C267" s="215"/>
      <c r="D267" s="215"/>
      <c r="E267" s="215"/>
      <c r="F267" s="215"/>
      <c r="G267" s="261">
        <f t="shared" si="15"/>
        <v>0</v>
      </c>
      <c r="H267" s="219">
        <f t="shared" si="16"/>
        <v>0</v>
      </c>
      <c r="I267" s="51"/>
    </row>
    <row r="268" spans="1:9" ht="12.75">
      <c r="A268" s="227"/>
      <c r="B268" s="51" t="s">
        <v>314</v>
      </c>
      <c r="C268" s="215" t="s">
        <v>326</v>
      </c>
      <c r="D268" s="215">
        <v>35.4</v>
      </c>
      <c r="E268" s="215">
        <v>1</v>
      </c>
      <c r="F268" s="215">
        <v>2.75</v>
      </c>
      <c r="G268" s="261">
        <f t="shared" si="15"/>
        <v>97.35</v>
      </c>
      <c r="H268" s="219">
        <f t="shared" si="16"/>
        <v>2780.579446502615</v>
      </c>
      <c r="I268" s="51"/>
    </row>
    <row r="269" spans="1:9" ht="12.75">
      <c r="A269" s="227"/>
      <c r="B269" s="51" t="s">
        <v>315</v>
      </c>
      <c r="C269" s="215"/>
      <c r="D269" s="215"/>
      <c r="E269" s="215"/>
      <c r="F269" s="215"/>
      <c r="G269" s="261">
        <f t="shared" si="15"/>
        <v>0</v>
      </c>
      <c r="H269" s="219">
        <f t="shared" si="16"/>
        <v>0</v>
      </c>
      <c r="I269" s="51"/>
    </row>
    <row r="270" spans="1:9" ht="12.75">
      <c r="A270" s="227"/>
      <c r="B270" s="47" t="s">
        <v>316</v>
      </c>
      <c r="C270" s="215"/>
      <c r="D270" s="215"/>
      <c r="E270" s="215"/>
      <c r="F270" s="215"/>
      <c r="G270" s="261">
        <f t="shared" si="15"/>
        <v>0</v>
      </c>
      <c r="H270" s="219">
        <f t="shared" si="16"/>
        <v>0</v>
      </c>
      <c r="I270" s="51"/>
    </row>
    <row r="271" spans="1:9" ht="12.75">
      <c r="A271" s="227"/>
      <c r="B271" s="51" t="s">
        <v>314</v>
      </c>
      <c r="C271" s="215" t="s">
        <v>327</v>
      </c>
      <c r="D271" s="215">
        <v>31</v>
      </c>
      <c r="E271" s="215">
        <v>12</v>
      </c>
      <c r="F271" s="215">
        <v>0.49</v>
      </c>
      <c r="G271" s="261">
        <f t="shared" si="15"/>
        <v>182.28</v>
      </c>
      <c r="H271" s="219">
        <f t="shared" si="16"/>
        <v>5206.41008226499</v>
      </c>
      <c r="I271" s="51"/>
    </row>
    <row r="272" spans="1:9" ht="12.75">
      <c r="A272" s="227"/>
      <c r="B272" s="51" t="s">
        <v>317</v>
      </c>
      <c r="C272" s="215"/>
      <c r="D272" s="215"/>
      <c r="E272" s="215"/>
      <c r="F272" s="215"/>
      <c r="G272" s="261">
        <f t="shared" si="15"/>
        <v>0</v>
      </c>
      <c r="H272" s="219">
        <f t="shared" si="16"/>
        <v>0</v>
      </c>
      <c r="I272" s="51"/>
    </row>
    <row r="273" spans="1:9" ht="12.75">
      <c r="A273" s="227"/>
      <c r="B273" s="51" t="s">
        <v>533</v>
      </c>
      <c r="C273" s="215"/>
      <c r="D273" s="215"/>
      <c r="E273" s="215"/>
      <c r="F273" s="215"/>
      <c r="G273" s="261">
        <f t="shared" si="15"/>
        <v>0</v>
      </c>
      <c r="H273" s="219">
        <f t="shared" si="16"/>
        <v>0</v>
      </c>
      <c r="I273" s="51"/>
    </row>
    <row r="274" spans="1:9" ht="12.75">
      <c r="A274" s="227"/>
      <c r="B274" s="47" t="s">
        <v>320</v>
      </c>
      <c r="C274" s="215" t="s">
        <v>328</v>
      </c>
      <c r="D274" s="215">
        <v>31</v>
      </c>
      <c r="E274" s="215">
        <v>12</v>
      </c>
      <c r="F274" s="215">
        <v>0.42</v>
      </c>
      <c r="G274" s="261">
        <f t="shared" si="15"/>
        <v>156.23999999999998</v>
      </c>
      <c r="H274" s="219">
        <f t="shared" si="16"/>
        <v>4462.637213369991</v>
      </c>
      <c r="I274" s="51"/>
    </row>
    <row r="275" spans="1:9" ht="12.75">
      <c r="A275" s="227"/>
      <c r="B275" s="51" t="s">
        <v>534</v>
      </c>
      <c r="C275" s="215"/>
      <c r="D275" s="215"/>
      <c r="E275" s="215"/>
      <c r="F275" s="215"/>
      <c r="G275" s="261">
        <f t="shared" si="15"/>
        <v>0</v>
      </c>
      <c r="H275" s="219">
        <f t="shared" si="16"/>
        <v>0</v>
      </c>
      <c r="I275" s="51"/>
    </row>
    <row r="276" spans="1:9" ht="12.75">
      <c r="A276" s="227"/>
      <c r="B276" s="47" t="s">
        <v>321</v>
      </c>
      <c r="C276" s="215" t="s">
        <v>329</v>
      </c>
      <c r="D276" s="215">
        <v>35.4</v>
      </c>
      <c r="E276" s="215">
        <v>96</v>
      </c>
      <c r="F276" s="215">
        <v>0.27</v>
      </c>
      <c r="G276" s="261">
        <f t="shared" si="15"/>
        <v>917.568</v>
      </c>
      <c r="H276" s="219">
        <f t="shared" si="16"/>
        <v>26208.22518303556</v>
      </c>
      <c r="I276" s="51"/>
    </row>
    <row r="277" spans="1:9" ht="12.75">
      <c r="A277" s="227"/>
      <c r="B277" s="47" t="s">
        <v>322</v>
      </c>
      <c r="C277" s="51"/>
      <c r="D277" s="51"/>
      <c r="E277" s="51"/>
      <c r="F277" s="51"/>
      <c r="G277" s="51"/>
      <c r="H277" s="219">
        <f t="shared" si="16"/>
        <v>0</v>
      </c>
      <c r="I277" s="51"/>
    </row>
    <row r="278" spans="1:9" ht="12.75">
      <c r="A278" s="227"/>
      <c r="B278" s="47" t="s">
        <v>153</v>
      </c>
      <c r="C278" s="215" t="s">
        <v>61</v>
      </c>
      <c r="D278" s="215">
        <f>2*8</f>
        <v>16</v>
      </c>
      <c r="E278" s="215">
        <v>8</v>
      </c>
      <c r="F278" s="215">
        <v>1</v>
      </c>
      <c r="G278" s="260">
        <f>D278*E278</f>
        <v>128</v>
      </c>
      <c r="H278" s="219">
        <f t="shared" si="16"/>
        <v>3656.0263908817133</v>
      </c>
      <c r="I278" s="51"/>
    </row>
    <row r="279" spans="1:9" ht="15">
      <c r="A279" s="227"/>
      <c r="B279" s="47" t="s">
        <v>420</v>
      </c>
      <c r="C279" s="215"/>
      <c r="D279" s="215"/>
      <c r="E279" s="215"/>
      <c r="F279" s="215"/>
      <c r="G279" s="259">
        <f>SUM(G255:G278)</f>
        <v>3572.5879999999997</v>
      </c>
      <c r="H279" s="206">
        <f>SUM(H255:H278)</f>
        <v>102042.78134177593</v>
      </c>
      <c r="I279" s="51"/>
    </row>
    <row r="280" spans="1:9" ht="12.75">
      <c r="A280" s="227">
        <v>3</v>
      </c>
      <c r="B280" s="208" t="s">
        <v>507</v>
      </c>
      <c r="C280" s="215"/>
      <c r="D280" s="215"/>
      <c r="E280" s="215"/>
      <c r="F280" s="215"/>
      <c r="G280" s="260"/>
      <c r="H280" s="218"/>
      <c r="I280" s="51"/>
    </row>
    <row r="281" spans="1:9" ht="12.75">
      <c r="A281" s="227"/>
      <c r="B281" s="256" t="s">
        <v>454</v>
      </c>
      <c r="C281" s="215" t="s">
        <v>476</v>
      </c>
      <c r="D281" s="215">
        <f>1996-64-30-24</f>
        <v>1878</v>
      </c>
      <c r="E281" s="215">
        <v>1</v>
      </c>
      <c r="F281" s="215">
        <v>1</v>
      </c>
      <c r="G281" s="215">
        <f>1996-24</f>
        <v>1972</v>
      </c>
      <c r="H281" s="219">
        <f>159054/5568.59*G281</f>
        <v>56325.65658452139</v>
      </c>
      <c r="I281" s="51"/>
    </row>
    <row r="282" spans="1:9" ht="12.75">
      <c r="A282" s="227"/>
      <c r="B282" s="51" t="s">
        <v>463</v>
      </c>
      <c r="C282" s="215" t="s">
        <v>476</v>
      </c>
      <c r="D282" s="260">
        <f>3*8</f>
        <v>24</v>
      </c>
      <c r="E282" s="215">
        <v>1</v>
      </c>
      <c r="F282" s="215">
        <v>1</v>
      </c>
      <c r="G282" s="260">
        <f>3*8</f>
        <v>24</v>
      </c>
      <c r="H282" s="219">
        <f>159054/5568.59*G282</f>
        <v>685.5049482903212</v>
      </c>
      <c r="I282" s="51"/>
    </row>
    <row r="283" spans="1:9" ht="12.75">
      <c r="A283" s="227"/>
      <c r="B283" s="47" t="s">
        <v>413</v>
      </c>
      <c r="C283" s="215"/>
      <c r="D283" s="260"/>
      <c r="E283" s="215"/>
      <c r="F283" s="215"/>
      <c r="G283" s="207">
        <f>SUM(G281:G282)</f>
        <v>1996</v>
      </c>
      <c r="H283" s="218">
        <f>SUM(H281:H282)</f>
        <v>57011.16153281171</v>
      </c>
      <c r="I283" s="51"/>
    </row>
    <row r="284" spans="1:9" ht="15">
      <c r="A284" s="227"/>
      <c r="B284" s="93" t="s">
        <v>526</v>
      </c>
      <c r="C284" s="215"/>
      <c r="D284" s="260"/>
      <c r="E284" s="215"/>
      <c r="F284" s="215"/>
      <c r="G284" s="259">
        <f>G279+G283</f>
        <v>5568.588</v>
      </c>
      <c r="H284" s="206">
        <f>H279+H283</f>
        <v>159053.94287458764</v>
      </c>
      <c r="I284" s="51"/>
    </row>
    <row r="285" spans="1:9" ht="25.5">
      <c r="A285" s="227">
        <v>4</v>
      </c>
      <c r="B285" s="93" t="s">
        <v>522</v>
      </c>
      <c r="C285" s="247"/>
      <c r="D285" s="247"/>
      <c r="E285" s="231"/>
      <c r="F285" s="231"/>
      <c r="G285" s="230">
        <f>3000+12</f>
        <v>3012</v>
      </c>
      <c r="H285" s="245">
        <v>117238</v>
      </c>
      <c r="I285" s="231" t="s">
        <v>560</v>
      </c>
    </row>
    <row r="286" spans="1:9" ht="15">
      <c r="A286" s="227">
        <v>5</v>
      </c>
      <c r="B286" s="2" t="s">
        <v>502</v>
      </c>
      <c r="C286" s="258"/>
      <c r="D286" s="257"/>
      <c r="E286" s="258"/>
      <c r="F286" s="258"/>
      <c r="G286" s="257"/>
      <c r="H286" s="213">
        <v>96000</v>
      </c>
      <c r="I286" s="51" t="s">
        <v>63</v>
      </c>
    </row>
    <row r="287" spans="1:9" ht="12.75">
      <c r="A287" s="227">
        <v>6</v>
      </c>
      <c r="B287" s="256" t="s">
        <v>547</v>
      </c>
      <c r="C287" s="215"/>
      <c r="D287" s="205"/>
      <c r="E287" s="215"/>
      <c r="F287" s="215"/>
      <c r="G287" s="51"/>
      <c r="H287" s="255">
        <f>7604.68+5000+1350</f>
        <v>13954.68</v>
      </c>
      <c r="I287" s="51"/>
    </row>
    <row r="288" spans="1:9" ht="15">
      <c r="A288" s="227"/>
      <c r="B288" s="86" t="s">
        <v>219</v>
      </c>
      <c r="C288" s="247"/>
      <c r="D288" s="247"/>
      <c r="E288" s="231"/>
      <c r="F288" s="231"/>
      <c r="G288" s="245"/>
      <c r="H288" s="254">
        <f>H253+H284+H285+H286+H287</f>
        <v>648833.6228745877</v>
      </c>
      <c r="I288" s="51"/>
    </row>
    <row r="289" spans="1:9" ht="12.75">
      <c r="A289" s="421" t="s">
        <v>123</v>
      </c>
      <c r="B289" s="422"/>
      <c r="C289" s="422"/>
      <c r="D289" s="422"/>
      <c r="E289" s="422"/>
      <c r="F289" s="422"/>
      <c r="G289" s="422"/>
      <c r="H289" s="422"/>
      <c r="I289" s="51"/>
    </row>
    <row r="290" spans="1:9" ht="12.75">
      <c r="A290" s="401" t="s">
        <v>23</v>
      </c>
      <c r="B290" s="395"/>
      <c r="C290" s="395"/>
      <c r="D290" s="395"/>
      <c r="E290" s="395"/>
      <c r="F290" s="395"/>
      <c r="G290" s="395"/>
      <c r="H290" s="395"/>
      <c r="I290" s="51"/>
    </row>
    <row r="291" spans="1:9" ht="12.75">
      <c r="A291" s="253">
        <v>2</v>
      </c>
      <c r="B291" s="253" t="s">
        <v>561</v>
      </c>
      <c r="C291" s="205"/>
      <c r="D291" s="205"/>
      <c r="E291" s="205"/>
      <c r="F291" s="205"/>
      <c r="G291" s="205"/>
      <c r="H291" s="205"/>
      <c r="I291" s="51"/>
    </row>
    <row r="292" spans="1:9" ht="12.75">
      <c r="A292" s="215">
        <v>1</v>
      </c>
      <c r="B292" s="251" t="s">
        <v>155</v>
      </c>
      <c r="C292" s="215" t="s">
        <v>73</v>
      </c>
      <c r="D292" s="215">
        <v>29</v>
      </c>
      <c r="E292" s="215"/>
      <c r="F292" s="215"/>
      <c r="G292" s="215"/>
      <c r="H292" s="223"/>
      <c r="I292" s="51"/>
    </row>
    <row r="293" spans="1:9" ht="12.75">
      <c r="A293" s="215">
        <v>2</v>
      </c>
      <c r="B293" s="251" t="s">
        <v>156</v>
      </c>
      <c r="C293" s="215" t="s">
        <v>73</v>
      </c>
      <c r="D293" s="223">
        <v>29</v>
      </c>
      <c r="E293" s="215"/>
      <c r="F293" s="215"/>
      <c r="G293" s="215"/>
      <c r="H293" s="223"/>
      <c r="I293" s="51"/>
    </row>
    <row r="294" spans="1:9" ht="12.75">
      <c r="A294" s="215">
        <v>3</v>
      </c>
      <c r="B294" s="251" t="s">
        <v>157</v>
      </c>
      <c r="C294" s="215" t="s">
        <v>80</v>
      </c>
      <c r="D294" s="223">
        <v>6</v>
      </c>
      <c r="E294" s="215"/>
      <c r="F294" s="215"/>
      <c r="G294" s="215"/>
      <c r="H294" s="223"/>
      <c r="I294" s="51"/>
    </row>
    <row r="295" spans="1:9" ht="12.75">
      <c r="A295" s="215">
        <v>4</v>
      </c>
      <c r="B295" s="251" t="s">
        <v>158</v>
      </c>
      <c r="C295" s="215" t="s">
        <v>73</v>
      </c>
      <c r="D295" s="223">
        <v>313.68</v>
      </c>
      <c r="E295" s="215"/>
      <c r="F295" s="215"/>
      <c r="G295" s="215"/>
      <c r="H295" s="223"/>
      <c r="I295" s="51"/>
    </row>
    <row r="296" spans="1:9" ht="12.75">
      <c r="A296" s="215">
        <v>5</v>
      </c>
      <c r="B296" s="251" t="s">
        <v>159</v>
      </c>
      <c r="C296" s="215" t="s">
        <v>73</v>
      </c>
      <c r="D296" s="223">
        <v>279.56</v>
      </c>
      <c r="E296" s="215"/>
      <c r="F296" s="215"/>
      <c r="G296" s="215"/>
      <c r="H296" s="223"/>
      <c r="I296" s="51"/>
    </row>
    <row r="297" spans="1:9" ht="12.75">
      <c r="A297" s="215">
        <v>6</v>
      </c>
      <c r="B297" s="251" t="s">
        <v>160</v>
      </c>
      <c r="C297" s="215" t="s">
        <v>73</v>
      </c>
      <c r="D297" s="223">
        <v>79</v>
      </c>
      <c r="E297" s="215"/>
      <c r="F297" s="215"/>
      <c r="G297" s="215"/>
      <c r="H297" s="223"/>
      <c r="I297" s="51"/>
    </row>
    <row r="298" spans="1:9" ht="12.75">
      <c r="A298" s="215">
        <v>7</v>
      </c>
      <c r="B298" s="251" t="s">
        <v>161</v>
      </c>
      <c r="C298" s="215" t="s">
        <v>162</v>
      </c>
      <c r="D298" s="223">
        <v>200</v>
      </c>
      <c r="E298" s="215"/>
      <c r="F298" s="215"/>
      <c r="G298" s="215"/>
      <c r="H298" s="223"/>
      <c r="I298" s="51"/>
    </row>
    <row r="299" spans="1:9" ht="12.75">
      <c r="A299" s="215">
        <v>8</v>
      </c>
      <c r="B299" s="251" t="s">
        <v>163</v>
      </c>
      <c r="C299" s="215" t="s">
        <v>73</v>
      </c>
      <c r="D299" s="223">
        <v>21.36</v>
      </c>
      <c r="E299" s="215"/>
      <c r="F299" s="215"/>
      <c r="G299" s="215"/>
      <c r="H299" s="223"/>
      <c r="I299" s="51"/>
    </row>
    <row r="300" spans="1:9" ht="12.75">
      <c r="A300" s="215">
        <v>9</v>
      </c>
      <c r="B300" s="251" t="s">
        <v>164</v>
      </c>
      <c r="C300" s="215"/>
      <c r="D300" s="223"/>
      <c r="E300" s="215"/>
      <c r="F300" s="215"/>
      <c r="G300" s="215"/>
      <c r="H300" s="223"/>
      <c r="I300" s="51"/>
    </row>
    <row r="301" spans="1:9" ht="12.75">
      <c r="A301" s="215">
        <v>10</v>
      </c>
      <c r="B301" s="251" t="s">
        <v>165</v>
      </c>
      <c r="C301" s="215"/>
      <c r="D301" s="223"/>
      <c r="E301" s="215"/>
      <c r="F301" s="215"/>
      <c r="G301" s="215"/>
      <c r="H301" s="223"/>
      <c r="I301" s="51"/>
    </row>
    <row r="302" spans="1:9" ht="12.75">
      <c r="A302" s="215">
        <v>11</v>
      </c>
      <c r="B302" s="251" t="s">
        <v>166</v>
      </c>
      <c r="C302" s="215"/>
      <c r="D302" s="223"/>
      <c r="E302" s="215"/>
      <c r="F302" s="215"/>
      <c r="G302" s="215"/>
      <c r="H302" s="223"/>
      <c r="I302" s="51"/>
    </row>
    <row r="303" spans="1:9" ht="12.75">
      <c r="A303" s="247"/>
      <c r="B303" s="248" t="s">
        <v>413</v>
      </c>
      <c r="C303" s="247"/>
      <c r="D303" s="246"/>
      <c r="E303" s="210"/>
      <c r="F303" s="231"/>
      <c r="G303" s="252">
        <f>2*1996</f>
        <v>3992</v>
      </c>
      <c r="H303" s="252">
        <f>92741-38266.38</f>
        <v>54474.62</v>
      </c>
      <c r="I303" s="250"/>
    </row>
    <row r="304" spans="1:9" ht="12.75">
      <c r="A304" s="247">
        <v>12</v>
      </c>
      <c r="B304" s="93" t="s">
        <v>506</v>
      </c>
      <c r="C304" s="215"/>
      <c r="D304" s="223"/>
      <c r="E304" s="215"/>
      <c r="F304" s="215"/>
      <c r="G304" s="215"/>
      <c r="H304" s="245"/>
      <c r="I304" s="250"/>
    </row>
    <row r="305" spans="1:9" ht="12.75">
      <c r="A305" s="247"/>
      <c r="B305" s="251" t="s">
        <v>455</v>
      </c>
      <c r="C305" s="215" t="s">
        <v>476</v>
      </c>
      <c r="D305" s="223">
        <v>998</v>
      </c>
      <c r="E305" s="215">
        <v>1</v>
      </c>
      <c r="F305" s="215">
        <v>1</v>
      </c>
      <c r="G305" s="215">
        <v>998</v>
      </c>
      <c r="H305" s="245">
        <f>9823.44+3612.08+8869+14453+1508.86</f>
        <v>38266.380000000005</v>
      </c>
      <c r="I305" s="250"/>
    </row>
    <row r="306" spans="1:9" ht="12.75">
      <c r="A306" s="247"/>
      <c r="B306" s="248" t="s">
        <v>527</v>
      </c>
      <c r="C306" s="215"/>
      <c r="D306" s="223"/>
      <c r="E306" s="215"/>
      <c r="F306" s="215"/>
      <c r="G306" s="207">
        <f>G303+G305</f>
        <v>4990</v>
      </c>
      <c r="H306" s="245">
        <f>H303+H305</f>
        <v>92741</v>
      </c>
      <c r="I306" s="250"/>
    </row>
    <row r="307" spans="1:9" ht="12.75">
      <c r="A307" s="247">
        <v>13</v>
      </c>
      <c r="B307" s="248" t="s">
        <v>167</v>
      </c>
      <c r="C307" s="247"/>
      <c r="D307" s="246"/>
      <c r="E307" s="210"/>
      <c r="F307" s="231"/>
      <c r="G307" s="245"/>
      <c r="H307" s="245"/>
      <c r="I307" s="250"/>
    </row>
    <row r="308" spans="1:9" ht="12.75">
      <c r="A308" s="247"/>
      <c r="B308" s="248" t="s">
        <v>343</v>
      </c>
      <c r="C308" s="247"/>
      <c r="D308" s="246"/>
      <c r="E308" s="210"/>
      <c r="F308" s="231"/>
      <c r="G308" s="245"/>
      <c r="H308" s="245">
        <f>7681+3030+1114</f>
        <v>11825</v>
      </c>
      <c r="I308" s="248" t="s">
        <v>495</v>
      </c>
    </row>
    <row r="309" spans="1:12" ht="12.75">
      <c r="A309" s="249"/>
      <c r="B309" s="248" t="s">
        <v>219</v>
      </c>
      <c r="C309" s="247"/>
      <c r="D309" s="246"/>
      <c r="E309" s="210"/>
      <c r="F309" s="231"/>
      <c r="G309" s="245"/>
      <c r="H309" s="230">
        <f>H306+H308</f>
        <v>104566</v>
      </c>
      <c r="I309" s="51"/>
      <c r="J309" s="188"/>
      <c r="K309" s="188"/>
      <c r="L309" s="188"/>
    </row>
    <row r="310" spans="1:9" ht="12.75">
      <c r="A310" s="421" t="s">
        <v>124</v>
      </c>
      <c r="B310" s="422"/>
      <c r="C310" s="422"/>
      <c r="D310" s="422"/>
      <c r="E310" s="422"/>
      <c r="F310" s="422"/>
      <c r="G310" s="422"/>
      <c r="H310" s="422"/>
      <c r="I310" s="51"/>
    </row>
    <row r="311" spans="1:9" ht="12.75">
      <c r="A311" s="421" t="s">
        <v>22</v>
      </c>
      <c r="B311" s="422"/>
      <c r="C311" s="422"/>
      <c r="D311" s="422"/>
      <c r="E311" s="422"/>
      <c r="F311" s="422"/>
      <c r="G311" s="422"/>
      <c r="H311" s="422"/>
      <c r="I311" s="51"/>
    </row>
    <row r="312" spans="1:9" ht="12.75">
      <c r="A312" s="212">
        <v>1</v>
      </c>
      <c r="B312" s="47" t="s">
        <v>169</v>
      </c>
      <c r="C312" s="212"/>
      <c r="D312" s="212"/>
      <c r="E312" s="224"/>
      <c r="F312" s="215"/>
      <c r="G312" s="215"/>
      <c r="H312" s="223"/>
      <c r="I312" s="215"/>
    </row>
    <row r="313" spans="1:9" ht="12.75">
      <c r="A313" s="212"/>
      <c r="B313" s="51" t="s">
        <v>171</v>
      </c>
      <c r="C313" s="212" t="s">
        <v>53</v>
      </c>
      <c r="D313" s="212">
        <v>1583.46</v>
      </c>
      <c r="E313" s="212">
        <v>20</v>
      </c>
      <c r="F313" s="212">
        <v>0.091</v>
      </c>
      <c r="G313" s="221">
        <f>D313*E313*F313</f>
        <v>2881.8972</v>
      </c>
      <c r="H313" s="219">
        <f>153840/11238.09*G313</f>
        <v>39450.74877029815</v>
      </c>
      <c r="I313" s="215"/>
    </row>
    <row r="314" spans="1:9" ht="12.75">
      <c r="A314" s="212"/>
      <c r="B314" s="51" t="s">
        <v>172</v>
      </c>
      <c r="C314" s="212" t="s">
        <v>73</v>
      </c>
      <c r="D314" s="212">
        <v>20835</v>
      </c>
      <c r="E314" s="212">
        <v>3</v>
      </c>
      <c r="F314" s="212">
        <v>0.043</v>
      </c>
      <c r="G314" s="221">
        <f>D314*E314*F314</f>
        <v>2687.7149999999997</v>
      </c>
      <c r="H314" s="219">
        <f>153840/11238.09*G314</f>
        <v>36792.55777449726</v>
      </c>
      <c r="I314" s="215"/>
    </row>
    <row r="315" spans="1:9" ht="12.75">
      <c r="A315" s="212"/>
      <c r="B315" s="51" t="s">
        <v>170</v>
      </c>
      <c r="C315" s="212" t="s">
        <v>135</v>
      </c>
      <c r="D315" s="212">
        <v>2</v>
      </c>
      <c r="E315" s="212">
        <v>8</v>
      </c>
      <c r="F315" s="212">
        <v>1.63</v>
      </c>
      <c r="G315" s="221">
        <f>D315*E315*F315</f>
        <v>26.08</v>
      </c>
      <c r="H315" s="219">
        <f>153840/11238.09*G315</f>
        <v>357.0132647095725</v>
      </c>
      <c r="I315" s="215"/>
    </row>
    <row r="316" spans="1:9" ht="12.75">
      <c r="A316" s="212"/>
      <c r="B316" s="47" t="s">
        <v>500</v>
      </c>
      <c r="C316" s="212"/>
      <c r="D316" s="212"/>
      <c r="E316" s="212"/>
      <c r="F316" s="212"/>
      <c r="G316" s="234">
        <f>SUM(G313:G315)</f>
        <v>5595.6921999999995</v>
      </c>
      <c r="H316" s="218">
        <f>SUM(H313:H315)</f>
        <v>76600.31980950499</v>
      </c>
      <c r="I316" s="215"/>
    </row>
    <row r="317" spans="1:9" ht="12.75">
      <c r="A317" s="421" t="s">
        <v>125</v>
      </c>
      <c r="B317" s="422"/>
      <c r="C317" s="422"/>
      <c r="D317" s="422"/>
      <c r="E317" s="422"/>
      <c r="F317" s="422"/>
      <c r="G317" s="422"/>
      <c r="H317" s="422"/>
      <c r="I317" s="51"/>
    </row>
    <row r="318" spans="1:9" ht="12.75">
      <c r="A318" s="421" t="s">
        <v>24</v>
      </c>
      <c r="B318" s="422"/>
      <c r="C318" s="422"/>
      <c r="D318" s="422"/>
      <c r="E318" s="422"/>
      <c r="F318" s="422"/>
      <c r="G318" s="422"/>
      <c r="H318" s="422"/>
      <c r="I318" s="51"/>
    </row>
    <row r="319" spans="1:9" ht="12.75">
      <c r="A319" s="212">
        <v>1</v>
      </c>
      <c r="B319" s="47" t="s">
        <v>173</v>
      </c>
      <c r="C319" s="51"/>
      <c r="D319" s="212"/>
      <c r="E319" s="224"/>
      <c r="F319" s="215"/>
      <c r="G319" s="215"/>
      <c r="H319" s="223"/>
      <c r="I319" s="51"/>
    </row>
    <row r="320" spans="1:9" ht="12.75">
      <c r="A320" s="212"/>
      <c r="B320" s="51" t="s">
        <v>174</v>
      </c>
      <c r="C320" s="212" t="s">
        <v>53</v>
      </c>
      <c r="D320" s="212">
        <v>28.73</v>
      </c>
      <c r="E320" s="243">
        <v>72</v>
      </c>
      <c r="F320" s="243">
        <v>0.162</v>
      </c>
      <c r="G320" s="221">
        <f aca="true" t="shared" si="17" ref="G320:G327">D320*E320*F320</f>
        <v>335.10672</v>
      </c>
      <c r="H320" s="219">
        <f aca="true" t="shared" si="18" ref="H320:H327">153840/11238.09*G320</f>
        <v>4587.329146216127</v>
      </c>
      <c r="I320" s="51"/>
    </row>
    <row r="321" spans="1:9" ht="12.75">
      <c r="A321" s="212"/>
      <c r="B321" s="51" t="s">
        <v>175</v>
      </c>
      <c r="C321" s="212" t="s">
        <v>53</v>
      </c>
      <c r="D321" s="212">
        <v>2.5</v>
      </c>
      <c r="E321" s="243">
        <v>3</v>
      </c>
      <c r="F321" s="243">
        <v>6.25</v>
      </c>
      <c r="G321" s="221">
        <f t="shared" si="17"/>
        <v>46.875</v>
      </c>
      <c r="H321" s="219">
        <f t="shared" si="18"/>
        <v>641.6793245115496</v>
      </c>
      <c r="I321" s="51"/>
    </row>
    <row r="322" spans="1:9" ht="12.75">
      <c r="A322" s="212"/>
      <c r="B322" s="51" t="s">
        <v>176</v>
      </c>
      <c r="C322" s="212" t="s">
        <v>53</v>
      </c>
      <c r="D322" s="212">
        <v>28.73</v>
      </c>
      <c r="E322" s="243">
        <v>36</v>
      </c>
      <c r="F322" s="243">
        <v>0.214</v>
      </c>
      <c r="G322" s="221">
        <f t="shared" si="17"/>
        <v>221.33592</v>
      </c>
      <c r="H322" s="219">
        <f t="shared" si="18"/>
        <v>3029.9025842291703</v>
      </c>
      <c r="I322" s="51"/>
    </row>
    <row r="323" spans="1:9" ht="12.75">
      <c r="A323" s="212"/>
      <c r="B323" s="51" t="s">
        <v>177</v>
      </c>
      <c r="C323" s="212" t="s">
        <v>53</v>
      </c>
      <c r="D323" s="212">
        <v>28.73</v>
      </c>
      <c r="E323" s="243">
        <v>24</v>
      </c>
      <c r="F323" s="243">
        <v>1.43</v>
      </c>
      <c r="G323" s="221">
        <f t="shared" si="17"/>
        <v>986.0135999999999</v>
      </c>
      <c r="H323" s="219">
        <f t="shared" si="18"/>
        <v>13497.696870553624</v>
      </c>
      <c r="I323" s="51"/>
    </row>
    <row r="324" spans="1:9" ht="12.75">
      <c r="A324" s="212"/>
      <c r="B324" s="51" t="s">
        <v>178</v>
      </c>
      <c r="C324" s="212" t="s">
        <v>73</v>
      </c>
      <c r="D324" s="212">
        <v>2032</v>
      </c>
      <c r="E324" s="243">
        <v>6</v>
      </c>
      <c r="F324" s="243">
        <v>0.05</v>
      </c>
      <c r="G324" s="221">
        <f t="shared" si="17"/>
        <v>609.6</v>
      </c>
      <c r="H324" s="219">
        <f t="shared" si="18"/>
        <v>8344.9112794078</v>
      </c>
      <c r="I324" s="51"/>
    </row>
    <row r="325" spans="1:9" ht="12.75">
      <c r="A325" s="212"/>
      <c r="B325" s="51" t="s">
        <v>170</v>
      </c>
      <c r="C325" s="212" t="s">
        <v>179</v>
      </c>
      <c r="D325" s="212">
        <v>3</v>
      </c>
      <c r="E325" s="243">
        <v>6</v>
      </c>
      <c r="F325" s="243">
        <v>1.63</v>
      </c>
      <c r="G325" s="221">
        <f t="shared" si="17"/>
        <v>29.339999999999996</v>
      </c>
      <c r="H325" s="219">
        <f t="shared" si="18"/>
        <v>401.639922798269</v>
      </c>
      <c r="I325" s="51"/>
    </row>
    <row r="326" spans="1:9" ht="12.75">
      <c r="A326" s="212"/>
      <c r="B326" s="51" t="s">
        <v>180</v>
      </c>
      <c r="C326" s="212" t="s">
        <v>53</v>
      </c>
      <c r="D326" s="212">
        <v>28.73</v>
      </c>
      <c r="E326" s="243">
        <v>24</v>
      </c>
      <c r="F326" s="243">
        <v>0.24</v>
      </c>
      <c r="G326" s="221">
        <f t="shared" si="17"/>
        <v>165.48479999999998</v>
      </c>
      <c r="H326" s="219">
        <f t="shared" si="18"/>
        <v>2265.3477265264823</v>
      </c>
      <c r="I326" s="51"/>
    </row>
    <row r="327" spans="1:9" ht="12.75">
      <c r="A327" s="212"/>
      <c r="B327" s="51" t="s">
        <v>181</v>
      </c>
      <c r="C327" s="212" t="s">
        <v>71</v>
      </c>
      <c r="D327" s="212">
        <v>6</v>
      </c>
      <c r="E327" s="243">
        <v>96</v>
      </c>
      <c r="F327" s="243">
        <v>0.125</v>
      </c>
      <c r="G327" s="221">
        <f t="shared" si="17"/>
        <v>72</v>
      </c>
      <c r="H327" s="219">
        <f t="shared" si="18"/>
        <v>985.6194424497401</v>
      </c>
      <c r="I327" s="51"/>
    </row>
    <row r="328" spans="1:9" ht="12.75">
      <c r="A328" s="212"/>
      <c r="B328" s="47" t="s">
        <v>500</v>
      </c>
      <c r="C328" s="208"/>
      <c r="D328" s="208"/>
      <c r="E328" s="208"/>
      <c r="F328" s="208"/>
      <c r="G328" s="234">
        <f>SUM(G320:G327)</f>
        <v>2465.75604</v>
      </c>
      <c r="H328" s="218">
        <f>SUM(H320:H327)</f>
        <v>33754.12629669276</v>
      </c>
      <c r="I328" s="51"/>
    </row>
    <row r="329" spans="1:9" ht="25.5">
      <c r="A329" s="215">
        <v>2</v>
      </c>
      <c r="B329" s="86" t="s">
        <v>425</v>
      </c>
      <c r="C329" s="212"/>
      <c r="D329" s="212"/>
      <c r="E329" s="210"/>
      <c r="F329" s="205"/>
      <c r="G329" s="205"/>
      <c r="H329" s="233">
        <v>11728</v>
      </c>
      <c r="I329" s="205" t="s">
        <v>63</v>
      </c>
    </row>
    <row r="330" spans="1:9" ht="12.75">
      <c r="A330" s="421" t="s">
        <v>126</v>
      </c>
      <c r="B330" s="422"/>
      <c r="C330" s="422"/>
      <c r="D330" s="422"/>
      <c r="E330" s="422"/>
      <c r="F330" s="422"/>
      <c r="G330" s="422"/>
      <c r="H330" s="422"/>
      <c r="I330" s="244"/>
    </row>
    <row r="331" spans="1:9" ht="12.75">
      <c r="A331" s="205">
        <v>1</v>
      </c>
      <c r="B331" s="47" t="s">
        <v>183</v>
      </c>
      <c r="C331" s="212"/>
      <c r="D331" s="212"/>
      <c r="E331" s="205"/>
      <c r="F331" s="205"/>
      <c r="G331" s="205"/>
      <c r="H331" s="235"/>
      <c r="I331" s="51"/>
    </row>
    <row r="332" spans="1:9" ht="12.75">
      <c r="A332" s="215"/>
      <c r="B332" s="51" t="s">
        <v>184</v>
      </c>
      <c r="C332" s="212" t="s">
        <v>53</v>
      </c>
      <c r="D332" s="212">
        <v>8.74</v>
      </c>
      <c r="E332" s="243">
        <v>80</v>
      </c>
      <c r="F332" s="243">
        <v>0.162</v>
      </c>
      <c r="G332" s="221">
        <f>D332*E332*F332</f>
        <v>113.27040000000001</v>
      </c>
      <c r="H332" s="219">
        <f aca="true" t="shared" si="19" ref="H332:H346">153840/11238.09*G332</f>
        <v>1550.5765068619312</v>
      </c>
      <c r="I332" s="51"/>
    </row>
    <row r="333" spans="1:9" ht="12.75">
      <c r="A333" s="215"/>
      <c r="B333" s="51" t="s">
        <v>180</v>
      </c>
      <c r="C333" s="212" t="s">
        <v>53</v>
      </c>
      <c r="D333" s="212">
        <v>8.74</v>
      </c>
      <c r="E333" s="243">
        <v>24</v>
      </c>
      <c r="F333" s="243">
        <v>0.24</v>
      </c>
      <c r="G333" s="221">
        <f>D333*E333*F333</f>
        <v>50.3424</v>
      </c>
      <c r="H333" s="219">
        <f t="shared" si="19"/>
        <v>689.1451141608583</v>
      </c>
      <c r="I333" s="51"/>
    </row>
    <row r="334" spans="1:9" ht="12.75">
      <c r="A334" s="215"/>
      <c r="B334" s="51" t="s">
        <v>185</v>
      </c>
      <c r="C334" s="212"/>
      <c r="D334" s="212"/>
      <c r="E334" s="243"/>
      <c r="F334" s="243"/>
      <c r="G334" s="221"/>
      <c r="H334" s="219">
        <f t="shared" si="19"/>
        <v>0</v>
      </c>
      <c r="I334" s="51"/>
    </row>
    <row r="335" spans="1:9" ht="12.75">
      <c r="A335" s="215"/>
      <c r="B335" s="51" t="s">
        <v>186</v>
      </c>
      <c r="C335" s="212" t="s">
        <v>53</v>
      </c>
      <c r="D335" s="212">
        <v>8.74</v>
      </c>
      <c r="E335" s="243">
        <v>36</v>
      </c>
      <c r="F335" s="243">
        <v>0.214</v>
      </c>
      <c r="G335" s="221">
        <f>D335*E335*F335</f>
        <v>67.33296</v>
      </c>
      <c r="H335" s="219">
        <f t="shared" si="19"/>
        <v>921.7315901901479</v>
      </c>
      <c r="I335" s="51"/>
    </row>
    <row r="336" spans="1:9" ht="12.75">
      <c r="A336" s="215"/>
      <c r="B336" s="51" t="s">
        <v>187</v>
      </c>
      <c r="C336" s="212" t="s">
        <v>53</v>
      </c>
      <c r="D336" s="212">
        <v>8.74</v>
      </c>
      <c r="E336" s="243">
        <v>12</v>
      </c>
      <c r="F336" s="243">
        <v>1.43</v>
      </c>
      <c r="G336" s="221">
        <f>D336*E336*F336</f>
        <v>149.9784</v>
      </c>
      <c r="H336" s="219">
        <f t="shared" si="19"/>
        <v>2053.0781526042238</v>
      </c>
      <c r="I336" s="51"/>
    </row>
    <row r="337" spans="1:9" ht="12.75">
      <c r="A337" s="215"/>
      <c r="B337" s="47" t="s">
        <v>500</v>
      </c>
      <c r="C337" s="212"/>
      <c r="D337" s="212"/>
      <c r="E337" s="243"/>
      <c r="F337" s="243"/>
      <c r="G337" s="234">
        <f>SUM(G332:G336)</f>
        <v>380.92416000000003</v>
      </c>
      <c r="H337" s="219">
        <f t="shared" si="19"/>
        <v>5214.531363817161</v>
      </c>
      <c r="I337" s="51"/>
    </row>
    <row r="338" spans="1:9" ht="12.75">
      <c r="A338" s="215">
        <v>2</v>
      </c>
      <c r="B338" s="47" t="s">
        <v>188</v>
      </c>
      <c r="C338" s="212"/>
      <c r="D338" s="212"/>
      <c r="E338" s="224"/>
      <c r="F338" s="215"/>
      <c r="G338" s="221"/>
      <c r="H338" s="219">
        <f t="shared" si="19"/>
        <v>0</v>
      </c>
      <c r="I338" s="51"/>
    </row>
    <row r="339" spans="1:9" ht="12.75">
      <c r="A339" s="215"/>
      <c r="B339" s="51" t="s">
        <v>330</v>
      </c>
      <c r="C339" s="212" t="s">
        <v>53</v>
      </c>
      <c r="D339" s="212">
        <v>97.15</v>
      </c>
      <c r="E339" s="243">
        <f>2*4*9</f>
        <v>72</v>
      </c>
      <c r="F339" s="243">
        <v>0.091</v>
      </c>
      <c r="G339" s="221">
        <f aca="true" t="shared" si="20" ref="G339:G346">D339*E339*F339</f>
        <v>636.5268</v>
      </c>
      <c r="H339" s="219">
        <f t="shared" si="19"/>
        <v>8713.516523893295</v>
      </c>
      <c r="I339" s="51"/>
    </row>
    <row r="340" spans="1:9" ht="12.75">
      <c r="A340" s="215"/>
      <c r="B340" s="51" t="s">
        <v>331</v>
      </c>
      <c r="C340" s="212" t="s">
        <v>53</v>
      </c>
      <c r="D340" s="212">
        <v>24.74</v>
      </c>
      <c r="E340" s="243">
        <f>2*4*9</f>
        <v>72</v>
      </c>
      <c r="F340" s="243">
        <v>0.091</v>
      </c>
      <c r="G340" s="221">
        <f t="shared" si="20"/>
        <v>162.09647999999999</v>
      </c>
      <c r="H340" s="219">
        <f t="shared" si="19"/>
        <v>2218.964475564798</v>
      </c>
      <c r="I340" s="51"/>
    </row>
    <row r="341" spans="1:9" ht="12.75">
      <c r="A341" s="215"/>
      <c r="B341" s="51" t="s">
        <v>332</v>
      </c>
      <c r="C341" s="212" t="s">
        <v>53</v>
      </c>
      <c r="D341" s="212">
        <v>329.98</v>
      </c>
      <c r="E341" s="243">
        <v>36</v>
      </c>
      <c r="F341" s="243">
        <v>0.03</v>
      </c>
      <c r="G341" s="221">
        <f t="shared" si="20"/>
        <v>356.3784</v>
      </c>
      <c r="H341" s="219">
        <f t="shared" si="19"/>
        <v>4878.520554293478</v>
      </c>
      <c r="I341" s="51"/>
    </row>
    <row r="342" spans="1:9" ht="12.75">
      <c r="A342" s="215"/>
      <c r="B342" s="51" t="s">
        <v>190</v>
      </c>
      <c r="C342" s="212" t="s">
        <v>53</v>
      </c>
      <c r="D342" s="212">
        <v>117.32</v>
      </c>
      <c r="E342" s="243">
        <f>7*9</f>
        <v>63</v>
      </c>
      <c r="F342" s="243">
        <v>0.129</v>
      </c>
      <c r="G342" s="221">
        <f t="shared" si="20"/>
        <v>953.45964</v>
      </c>
      <c r="H342" s="219">
        <f t="shared" si="19"/>
        <v>13052.060538543472</v>
      </c>
      <c r="I342" s="51"/>
    </row>
    <row r="343" spans="1:9" ht="12.75">
      <c r="A343" s="215"/>
      <c r="B343" s="51" t="s">
        <v>191</v>
      </c>
      <c r="C343" s="212" t="s">
        <v>203</v>
      </c>
      <c r="D343" s="212">
        <v>0.2</v>
      </c>
      <c r="E343" s="243">
        <v>72</v>
      </c>
      <c r="F343" s="243">
        <v>1.128</v>
      </c>
      <c r="G343" s="221">
        <f t="shared" si="20"/>
        <v>16.243199999999998</v>
      </c>
      <c r="H343" s="219">
        <f t="shared" si="19"/>
        <v>222.35574621666134</v>
      </c>
      <c r="I343" s="51"/>
    </row>
    <row r="344" spans="1:9" ht="12.75">
      <c r="A344" s="215"/>
      <c r="B344" s="51" t="s">
        <v>195</v>
      </c>
      <c r="C344" s="212" t="s">
        <v>203</v>
      </c>
      <c r="D344" s="212">
        <v>16.2</v>
      </c>
      <c r="E344" s="243">
        <v>1</v>
      </c>
      <c r="F344" s="243">
        <v>0.68</v>
      </c>
      <c r="G344" s="221">
        <f t="shared" si="20"/>
        <v>11.016</v>
      </c>
      <c r="H344" s="219">
        <f t="shared" si="19"/>
        <v>150.79977469481022</v>
      </c>
      <c r="I344" s="51"/>
    </row>
    <row r="345" spans="1:9" ht="12.75">
      <c r="A345" s="215"/>
      <c r="B345" s="51" t="s">
        <v>196</v>
      </c>
      <c r="C345" s="212" t="s">
        <v>80</v>
      </c>
      <c r="D345" s="212">
        <v>14</v>
      </c>
      <c r="E345" s="243">
        <v>72</v>
      </c>
      <c r="F345" s="243">
        <v>0.125</v>
      </c>
      <c r="G345" s="221">
        <f t="shared" si="20"/>
        <v>126</v>
      </c>
      <c r="H345" s="219">
        <f t="shared" si="19"/>
        <v>1724.8340242870452</v>
      </c>
      <c r="I345" s="51"/>
    </row>
    <row r="346" spans="1:9" ht="12.75">
      <c r="A346" s="215"/>
      <c r="B346" s="51" t="s">
        <v>153</v>
      </c>
      <c r="C346" s="212" t="s">
        <v>61</v>
      </c>
      <c r="D346" s="212">
        <f>6*8</f>
        <v>48</v>
      </c>
      <c r="E346" s="243">
        <v>8</v>
      </c>
      <c r="F346" s="243">
        <v>1</v>
      </c>
      <c r="G346" s="221">
        <f t="shared" si="20"/>
        <v>384</v>
      </c>
      <c r="H346" s="219">
        <f t="shared" si="19"/>
        <v>5256.637026398614</v>
      </c>
      <c r="I346" s="51"/>
    </row>
    <row r="347" spans="1:9" ht="12.75">
      <c r="A347" s="215"/>
      <c r="B347" s="47" t="s">
        <v>528</v>
      </c>
      <c r="C347" s="212"/>
      <c r="D347" s="212"/>
      <c r="E347" s="243"/>
      <c r="F347" s="243"/>
      <c r="G347" s="234">
        <f>SUM(G339:G346)</f>
        <v>2645.7205200000003</v>
      </c>
      <c r="H347" s="218">
        <f>SUM(H339:H346)</f>
        <v>36217.68866389217</v>
      </c>
      <c r="I347" s="51"/>
    </row>
    <row r="348" spans="1:9" ht="15">
      <c r="A348" s="215"/>
      <c r="B348" s="2" t="s">
        <v>427</v>
      </c>
      <c r="C348" s="212"/>
      <c r="D348" s="212"/>
      <c r="E348" s="243"/>
      <c r="F348" s="243"/>
      <c r="G348" s="207">
        <f>G316+G328+G337+G347</f>
        <v>11088.092920000001</v>
      </c>
      <c r="H348" s="242">
        <f>H316+H328+H337+H347</f>
        <v>151786.6661339071</v>
      </c>
      <c r="I348" s="51"/>
    </row>
    <row r="349" spans="1:9" ht="12.75">
      <c r="A349" s="215">
        <v>3</v>
      </c>
      <c r="B349" s="93" t="s">
        <v>505</v>
      </c>
      <c r="C349" s="215" t="s">
        <v>476</v>
      </c>
      <c r="D349" s="215"/>
      <c r="E349" s="210"/>
      <c r="F349" s="205"/>
      <c r="G349" s="207"/>
      <c r="H349" s="241"/>
      <c r="I349" s="205"/>
    </row>
    <row r="350" spans="1:9" ht="12.75">
      <c r="A350" s="215"/>
      <c r="B350" s="51" t="s">
        <v>461</v>
      </c>
      <c r="C350" s="215" t="s">
        <v>476</v>
      </c>
      <c r="D350" s="215">
        <v>60</v>
      </c>
      <c r="E350" s="224">
        <v>1</v>
      </c>
      <c r="F350" s="215">
        <v>1</v>
      </c>
      <c r="G350" s="215">
        <v>60</v>
      </c>
      <c r="H350" s="219">
        <f>153840/11238.09*G350</f>
        <v>821.3495353747834</v>
      </c>
      <c r="I350" s="205"/>
    </row>
    <row r="351" spans="1:9" ht="12.75">
      <c r="A351" s="215"/>
      <c r="B351" s="51" t="s">
        <v>456</v>
      </c>
      <c r="C351" s="215" t="s">
        <v>476</v>
      </c>
      <c r="D351" s="215">
        <v>20</v>
      </c>
      <c r="E351" s="224">
        <v>1</v>
      </c>
      <c r="F351" s="215">
        <v>1</v>
      </c>
      <c r="G351" s="215">
        <v>20</v>
      </c>
      <c r="H351" s="219">
        <f>153840/11238.09*G351</f>
        <v>273.78317845826115</v>
      </c>
      <c r="I351" s="205"/>
    </row>
    <row r="352" spans="1:9" ht="12.75">
      <c r="A352" s="215"/>
      <c r="B352" s="51" t="s">
        <v>490</v>
      </c>
      <c r="C352" s="215" t="s">
        <v>476</v>
      </c>
      <c r="D352" s="215">
        <v>20</v>
      </c>
      <c r="E352" s="224">
        <v>1</v>
      </c>
      <c r="F352" s="215">
        <v>1</v>
      </c>
      <c r="G352" s="215">
        <v>20</v>
      </c>
      <c r="H352" s="219">
        <f>153840/11238.09*G352</f>
        <v>273.78317845826115</v>
      </c>
      <c r="I352" s="205"/>
    </row>
    <row r="353" spans="1:9" ht="12.75">
      <c r="A353" s="215"/>
      <c r="B353" s="51" t="s">
        <v>457</v>
      </c>
      <c r="C353" s="215" t="s">
        <v>476</v>
      </c>
      <c r="D353" s="215">
        <v>16</v>
      </c>
      <c r="E353" s="224">
        <v>1</v>
      </c>
      <c r="F353" s="215">
        <v>1</v>
      </c>
      <c r="G353" s="215">
        <v>16</v>
      </c>
      <c r="H353" s="219">
        <f>153840/11238.09*G353</f>
        <v>219.0265427666089</v>
      </c>
      <c r="I353" s="205"/>
    </row>
    <row r="354" spans="1:9" ht="12.75">
      <c r="A354" s="227"/>
      <c r="B354" s="51" t="s">
        <v>458</v>
      </c>
      <c r="C354" s="215" t="s">
        <v>476</v>
      </c>
      <c r="D354" s="215">
        <v>34</v>
      </c>
      <c r="E354" s="224">
        <v>1</v>
      </c>
      <c r="F354" s="215">
        <v>1</v>
      </c>
      <c r="G354" s="215">
        <v>34</v>
      </c>
      <c r="H354" s="219">
        <f>153840/11238.09*G354</f>
        <v>465.43140337904396</v>
      </c>
      <c r="I354" s="51"/>
    </row>
    <row r="355" spans="1:9" ht="12.75">
      <c r="A355" s="227"/>
      <c r="B355" s="47" t="s">
        <v>413</v>
      </c>
      <c r="C355" s="215"/>
      <c r="D355" s="215"/>
      <c r="E355" s="224"/>
      <c r="F355" s="215"/>
      <c r="G355" s="205">
        <f>SUM(G350:G354)</f>
        <v>150</v>
      </c>
      <c r="H355" s="229">
        <f>SUM(H350:H354)</f>
        <v>2053.3738384369585</v>
      </c>
      <c r="I355" s="51"/>
    </row>
    <row r="356" spans="1:9" ht="25.5">
      <c r="A356" s="51"/>
      <c r="B356" s="226" t="s">
        <v>529</v>
      </c>
      <c r="C356" s="51"/>
      <c r="D356" s="51"/>
      <c r="E356" s="51"/>
      <c r="F356" s="51"/>
      <c r="G356" s="240">
        <f>G348+G355</f>
        <v>11238.092920000001</v>
      </c>
      <c r="H356" s="201">
        <f>H348+H355</f>
        <v>153840.03997234406</v>
      </c>
      <c r="I356" s="51"/>
    </row>
    <row r="357" spans="1:9" ht="15">
      <c r="A357" s="227">
        <v>4</v>
      </c>
      <c r="B357" s="86" t="s">
        <v>504</v>
      </c>
      <c r="C357" s="215"/>
      <c r="D357" s="215"/>
      <c r="E357" s="224"/>
      <c r="F357" s="215"/>
      <c r="G357" s="234">
        <f>G358+G359+G360+G361+G362</f>
        <v>1293</v>
      </c>
      <c r="H357" s="229">
        <f>SUM(H358:H362)</f>
        <v>22246</v>
      </c>
      <c r="I357" s="51"/>
    </row>
    <row r="358" spans="1:9" ht="14.25">
      <c r="A358" s="212"/>
      <c r="B358" s="93" t="s">
        <v>272</v>
      </c>
      <c r="C358" s="224"/>
      <c r="D358" s="224"/>
      <c r="E358" s="239"/>
      <c r="F358" s="239"/>
      <c r="G358" s="238">
        <v>28</v>
      </c>
      <c r="H358" s="238">
        <f>3308+207+76</f>
        <v>3591</v>
      </c>
      <c r="I358" s="237" t="s">
        <v>494</v>
      </c>
    </row>
    <row r="359" spans="1:9" ht="12.75">
      <c r="A359" s="215"/>
      <c r="B359" s="236" t="s">
        <v>496</v>
      </c>
      <c r="C359" s="205" t="s">
        <v>53</v>
      </c>
      <c r="D359" s="205">
        <f>1.375</f>
        <v>1.375</v>
      </c>
      <c r="E359" s="210"/>
      <c r="F359" s="205"/>
      <c r="G359" s="205">
        <f>572</f>
        <v>572</v>
      </c>
      <c r="H359" s="205">
        <f>2000+930+3258+1198</f>
        <v>7386</v>
      </c>
      <c r="I359" s="232" t="s">
        <v>498</v>
      </c>
    </row>
    <row r="360" spans="1:9" ht="12.75">
      <c r="A360" s="215"/>
      <c r="B360" s="236" t="s">
        <v>478</v>
      </c>
      <c r="C360" s="205"/>
      <c r="D360" s="205"/>
      <c r="E360" s="210"/>
      <c r="F360" s="205"/>
      <c r="G360" s="205">
        <v>398</v>
      </c>
      <c r="H360" s="235">
        <f>256+3995+1468</f>
        <v>5719</v>
      </c>
      <c r="I360" s="232" t="s">
        <v>497</v>
      </c>
    </row>
    <row r="361" spans="1:9" ht="12.75">
      <c r="A361" s="215"/>
      <c r="B361" s="47" t="s">
        <v>270</v>
      </c>
      <c r="C361" s="212" t="s">
        <v>53</v>
      </c>
      <c r="D361" s="212">
        <f>2.58+0.065</f>
        <v>2.645</v>
      </c>
      <c r="E361" s="210"/>
      <c r="F361" s="205"/>
      <c r="G361" s="234">
        <v>262</v>
      </c>
      <c r="H361" s="235">
        <f>911+2545+936</f>
        <v>4392</v>
      </c>
      <c r="I361" s="232" t="s">
        <v>440</v>
      </c>
    </row>
    <row r="362" spans="1:9" ht="12.75">
      <c r="A362" s="215"/>
      <c r="B362" s="93" t="s">
        <v>499</v>
      </c>
      <c r="C362" s="210" t="s">
        <v>73</v>
      </c>
      <c r="D362" s="210">
        <f>0.17+0.077</f>
        <v>0.247</v>
      </c>
      <c r="E362" s="210"/>
      <c r="F362" s="231"/>
      <c r="G362" s="230">
        <v>33</v>
      </c>
      <c r="H362" s="229">
        <f>713+325+120</f>
        <v>1158</v>
      </c>
      <c r="I362" s="232" t="s">
        <v>493</v>
      </c>
    </row>
    <row r="363" spans="1:9" ht="15">
      <c r="A363" s="215"/>
      <c r="B363" s="2" t="s">
        <v>562</v>
      </c>
      <c r="C363" s="212"/>
      <c r="D363" s="212"/>
      <c r="E363" s="210"/>
      <c r="F363" s="205"/>
      <c r="G363" s="234"/>
      <c r="H363" s="233">
        <v>27224</v>
      </c>
      <c r="I363" s="232" t="s">
        <v>563</v>
      </c>
    </row>
    <row r="364" spans="1:9" ht="12.75">
      <c r="A364" s="215">
        <v>5</v>
      </c>
      <c r="B364" s="47" t="s">
        <v>228</v>
      </c>
      <c r="C364" s="210"/>
      <c r="D364" s="210"/>
      <c r="E364" s="210"/>
      <c r="F364" s="231"/>
      <c r="G364" s="230"/>
      <c r="H364" s="229"/>
      <c r="I364" s="205"/>
    </row>
    <row r="365" spans="1:9" ht="15">
      <c r="A365" s="227"/>
      <c r="B365" s="47" t="s">
        <v>564</v>
      </c>
      <c r="C365" s="215" t="s">
        <v>80</v>
      </c>
      <c r="D365" s="215">
        <v>1</v>
      </c>
      <c r="E365" s="210"/>
      <c r="F365" s="205"/>
      <c r="G365" s="207"/>
      <c r="H365" s="228">
        <v>8640</v>
      </c>
      <c r="I365" s="51"/>
    </row>
    <row r="366" spans="1:10" ht="25.5">
      <c r="A366" s="227"/>
      <c r="B366" s="226" t="s">
        <v>361</v>
      </c>
      <c r="C366" s="215"/>
      <c r="D366" s="215"/>
      <c r="E366" s="215"/>
      <c r="F366" s="215"/>
      <c r="G366" s="207"/>
      <c r="H366" s="206">
        <f>H329+H356+H357+H365+H363</f>
        <v>223678.03997234406</v>
      </c>
      <c r="I366" s="51"/>
      <c r="J366" s="225"/>
    </row>
    <row r="367" spans="1:9" ht="12.75">
      <c r="A367" s="421" t="s">
        <v>25</v>
      </c>
      <c r="B367" s="422"/>
      <c r="C367" s="422"/>
      <c r="D367" s="422"/>
      <c r="E367" s="422"/>
      <c r="F367" s="422"/>
      <c r="G367" s="422"/>
      <c r="H367" s="422"/>
      <c r="I367" s="51"/>
    </row>
    <row r="368" spans="1:9" ht="12.75">
      <c r="A368" s="51">
        <v>1</v>
      </c>
      <c r="B368" s="47" t="s">
        <v>200</v>
      </c>
      <c r="C368" s="51"/>
      <c r="D368" s="51"/>
      <c r="E368" s="224"/>
      <c r="F368" s="215"/>
      <c r="G368" s="215"/>
      <c r="H368" s="223"/>
      <c r="I368" s="51"/>
    </row>
    <row r="369" spans="1:9" ht="12.75">
      <c r="A369" s="212"/>
      <c r="B369" s="51" t="s">
        <v>201</v>
      </c>
      <c r="C369" s="212" t="s">
        <v>53</v>
      </c>
      <c r="D369" s="212">
        <v>1.08</v>
      </c>
      <c r="E369" s="216">
        <v>3</v>
      </c>
      <c r="F369" s="215">
        <v>0.23</v>
      </c>
      <c r="G369" s="221">
        <f>D369*E369*F369</f>
        <v>0.7452000000000001</v>
      </c>
      <c r="H369" s="219">
        <f aca="true" t="shared" si="21" ref="H369:H385">34453/2365.83*G369</f>
        <v>10.85216418762126</v>
      </c>
      <c r="I369" s="51"/>
    </row>
    <row r="370" spans="1:9" ht="12.75">
      <c r="A370" s="212"/>
      <c r="B370" s="51" t="s">
        <v>202</v>
      </c>
      <c r="C370" s="212" t="s">
        <v>203</v>
      </c>
      <c r="D370" s="212">
        <v>30</v>
      </c>
      <c r="E370" s="216">
        <v>1</v>
      </c>
      <c r="F370" s="215">
        <v>0.35</v>
      </c>
      <c r="G370" s="221">
        <f>D370*E370*F370</f>
        <v>10.5</v>
      </c>
      <c r="H370" s="219">
        <f t="shared" si="21"/>
        <v>152.90891568709503</v>
      </c>
      <c r="I370" s="51"/>
    </row>
    <row r="371" spans="1:9" ht="12.75">
      <c r="A371" s="212"/>
      <c r="B371" s="51" t="s">
        <v>204</v>
      </c>
      <c r="C371" s="212" t="s">
        <v>135</v>
      </c>
      <c r="D371" s="212">
        <v>4</v>
      </c>
      <c r="E371" s="216">
        <v>12</v>
      </c>
      <c r="F371" s="215">
        <v>1.35</v>
      </c>
      <c r="G371" s="221">
        <f>D371*E371*F371</f>
        <v>64.80000000000001</v>
      </c>
      <c r="H371" s="219">
        <f t="shared" si="21"/>
        <v>943.6664510975008</v>
      </c>
      <c r="I371" s="51"/>
    </row>
    <row r="372" spans="1:9" ht="12.75">
      <c r="A372" s="212"/>
      <c r="B372" s="51" t="s">
        <v>205</v>
      </c>
      <c r="C372" s="212" t="s">
        <v>53</v>
      </c>
      <c r="D372" s="212">
        <v>1.08</v>
      </c>
      <c r="E372" s="216">
        <v>72</v>
      </c>
      <c r="F372" s="215">
        <v>0.03</v>
      </c>
      <c r="G372" s="221">
        <f>D372*E372*F372</f>
        <v>2.3328</v>
      </c>
      <c r="H372" s="219">
        <f t="shared" si="21"/>
        <v>33.97199223951003</v>
      </c>
      <c r="I372" s="51"/>
    </row>
    <row r="373" spans="1:9" ht="12.75">
      <c r="A373" s="212"/>
      <c r="B373" s="51" t="s">
        <v>206</v>
      </c>
      <c r="C373" s="212" t="s">
        <v>53</v>
      </c>
      <c r="D373" s="211">
        <f>100/100</f>
        <v>1</v>
      </c>
      <c r="E373" s="216">
        <v>12</v>
      </c>
      <c r="F373" s="215">
        <v>1.21</v>
      </c>
      <c r="G373" s="221">
        <f>D373*E373*F373</f>
        <v>14.52</v>
      </c>
      <c r="H373" s="219">
        <f t="shared" si="21"/>
        <v>211.45118626443997</v>
      </c>
      <c r="I373" s="51"/>
    </row>
    <row r="374" spans="1:9" ht="12.75">
      <c r="A374" s="212"/>
      <c r="B374" s="51"/>
      <c r="C374" s="212"/>
      <c r="D374" s="212"/>
      <c r="E374" s="216"/>
      <c r="F374" s="215"/>
      <c r="G374" s="221"/>
      <c r="H374" s="219">
        <f t="shared" si="21"/>
        <v>0</v>
      </c>
      <c r="I374" s="51"/>
    </row>
    <row r="375" spans="1:9" ht="12.75">
      <c r="A375" s="212">
        <v>2</v>
      </c>
      <c r="B375" s="47" t="s">
        <v>207</v>
      </c>
      <c r="C375" s="212"/>
      <c r="D375" s="212"/>
      <c r="E375" s="216"/>
      <c r="F375" s="215"/>
      <c r="G375" s="221"/>
      <c r="H375" s="219">
        <f t="shared" si="21"/>
        <v>0</v>
      </c>
      <c r="I375" s="51"/>
    </row>
    <row r="376" spans="1:9" ht="12.75">
      <c r="A376" s="212"/>
      <c r="B376" s="51" t="s">
        <v>208</v>
      </c>
      <c r="C376" s="212" t="s">
        <v>53</v>
      </c>
      <c r="D376" s="222">
        <f>5000/100</f>
        <v>50</v>
      </c>
      <c r="E376" s="216">
        <v>3</v>
      </c>
      <c r="F376" s="215">
        <v>0.23</v>
      </c>
      <c r="G376" s="221">
        <f aca="true" t="shared" si="22" ref="G376:G385">D376*E376*F376</f>
        <v>34.5</v>
      </c>
      <c r="H376" s="219">
        <f t="shared" si="21"/>
        <v>502.41500868616936</v>
      </c>
      <c r="I376" s="51"/>
    </row>
    <row r="377" spans="1:9" ht="12.75">
      <c r="A377" s="212"/>
      <c r="B377" s="51" t="s">
        <v>541</v>
      </c>
      <c r="C377" s="212" t="s">
        <v>53</v>
      </c>
      <c r="D377" s="212">
        <v>1.44</v>
      </c>
      <c r="E377" s="216">
        <v>27</v>
      </c>
      <c r="F377" s="215">
        <v>0.03</v>
      </c>
      <c r="G377" s="221">
        <f t="shared" si="22"/>
        <v>1.1663999999999999</v>
      </c>
      <c r="H377" s="219">
        <f t="shared" si="21"/>
        <v>16.98599611975501</v>
      </c>
      <c r="I377" s="51"/>
    </row>
    <row r="378" spans="1:9" ht="12.75">
      <c r="A378" s="212"/>
      <c r="B378" s="51" t="s">
        <v>211</v>
      </c>
      <c r="C378" s="212" t="s">
        <v>53</v>
      </c>
      <c r="D378" s="212">
        <f>1945/100</f>
        <v>19.45</v>
      </c>
      <c r="E378" s="216">
        <v>27</v>
      </c>
      <c r="F378" s="215">
        <v>0.03</v>
      </c>
      <c r="G378" s="221">
        <f t="shared" si="22"/>
        <v>15.754499999999998</v>
      </c>
      <c r="H378" s="219">
        <f t="shared" si="21"/>
        <v>229.42890592307984</v>
      </c>
      <c r="I378" s="51"/>
    </row>
    <row r="379" spans="1:9" ht="12.75">
      <c r="A379" s="212"/>
      <c r="B379" s="51" t="s">
        <v>212</v>
      </c>
      <c r="C379" s="212"/>
      <c r="D379" s="212"/>
      <c r="E379" s="216"/>
      <c r="F379" s="215"/>
      <c r="G379" s="221">
        <f t="shared" si="22"/>
        <v>0</v>
      </c>
      <c r="H379" s="219">
        <f t="shared" si="21"/>
        <v>0</v>
      </c>
      <c r="I379" s="51"/>
    </row>
    <row r="380" spans="1:9" ht="12.75">
      <c r="A380" s="212"/>
      <c r="B380" s="51" t="s">
        <v>213</v>
      </c>
      <c r="C380" s="212" t="s">
        <v>53</v>
      </c>
      <c r="D380" s="212">
        <v>27.86</v>
      </c>
      <c r="E380" s="216">
        <v>12</v>
      </c>
      <c r="F380" s="215">
        <v>1.21</v>
      </c>
      <c r="G380" s="221">
        <f t="shared" si="22"/>
        <v>404.5272</v>
      </c>
      <c r="H380" s="219">
        <f t="shared" si="21"/>
        <v>5891.030049327297</v>
      </c>
      <c r="I380" s="51"/>
    </row>
    <row r="381" spans="1:9" ht="12.75">
      <c r="A381" s="212"/>
      <c r="B381" s="51" t="s">
        <v>214</v>
      </c>
      <c r="C381" s="212" t="s">
        <v>179</v>
      </c>
      <c r="D381" s="212">
        <v>3</v>
      </c>
      <c r="E381" s="216">
        <v>12</v>
      </c>
      <c r="F381" s="215">
        <v>1.35</v>
      </c>
      <c r="G381" s="221">
        <f t="shared" si="22"/>
        <v>48.6</v>
      </c>
      <c r="H381" s="219">
        <f t="shared" si="21"/>
        <v>707.7498383231256</v>
      </c>
      <c r="I381" s="51"/>
    </row>
    <row r="382" spans="1:9" ht="12.75">
      <c r="A382" s="212"/>
      <c r="B382" s="51" t="s">
        <v>215</v>
      </c>
      <c r="C382" s="212" t="s">
        <v>53</v>
      </c>
      <c r="D382" s="212">
        <v>27.86</v>
      </c>
      <c r="E382" s="216">
        <v>6</v>
      </c>
      <c r="F382" s="215">
        <v>0.4</v>
      </c>
      <c r="G382" s="221">
        <f t="shared" si="22"/>
        <v>66.864</v>
      </c>
      <c r="H382" s="219">
        <f t="shared" si="21"/>
        <v>973.7239750954211</v>
      </c>
      <c r="I382" s="51"/>
    </row>
    <row r="383" spans="1:9" ht="12.75">
      <c r="A383" s="212"/>
      <c r="B383" s="51" t="s">
        <v>216</v>
      </c>
      <c r="C383" s="212" t="s">
        <v>53</v>
      </c>
      <c r="D383" s="222">
        <f>22000*0.1/100</f>
        <v>22</v>
      </c>
      <c r="E383" s="216">
        <v>72</v>
      </c>
      <c r="F383" s="215">
        <v>0.03</v>
      </c>
      <c r="G383" s="221">
        <f t="shared" si="22"/>
        <v>47.519999999999996</v>
      </c>
      <c r="H383" s="219">
        <f t="shared" si="21"/>
        <v>692.0220641381671</v>
      </c>
      <c r="I383" s="51"/>
    </row>
    <row r="384" spans="1:9" ht="12.75">
      <c r="A384" s="212"/>
      <c r="B384" s="51" t="s">
        <v>217</v>
      </c>
      <c r="C384" s="212" t="s">
        <v>61</v>
      </c>
      <c r="D384" s="222">
        <v>120</v>
      </c>
      <c r="E384" s="216">
        <v>12</v>
      </c>
      <c r="F384" s="215">
        <v>1</v>
      </c>
      <c r="G384" s="221">
        <f t="shared" si="22"/>
        <v>1440</v>
      </c>
      <c r="H384" s="219">
        <f t="shared" si="21"/>
        <v>20970.36557994446</v>
      </c>
      <c r="I384" s="51"/>
    </row>
    <row r="385" spans="1:9" ht="12.75">
      <c r="A385" s="212"/>
      <c r="B385" s="51" t="s">
        <v>153</v>
      </c>
      <c r="C385" s="212" t="s">
        <v>61</v>
      </c>
      <c r="D385" s="222">
        <f>8*8</f>
        <v>64</v>
      </c>
      <c r="E385" s="216">
        <v>1</v>
      </c>
      <c r="F385" s="215">
        <v>1</v>
      </c>
      <c r="G385" s="221">
        <f t="shared" si="22"/>
        <v>64</v>
      </c>
      <c r="H385" s="219">
        <f t="shared" si="21"/>
        <v>932.0162479975315</v>
      </c>
      <c r="I385" s="51"/>
    </row>
    <row r="386" spans="1:9" ht="12.75">
      <c r="A386" s="212"/>
      <c r="B386" s="47" t="s">
        <v>413</v>
      </c>
      <c r="C386" s="212"/>
      <c r="D386" s="212"/>
      <c r="E386" s="210"/>
      <c r="F386" s="205"/>
      <c r="G386" s="207">
        <f>SUM(G369:G385)</f>
        <v>2215.8301</v>
      </c>
      <c r="H386" s="218">
        <f>SUM(H369:H385)</f>
        <v>32268.588375031177</v>
      </c>
      <c r="I386" s="51"/>
    </row>
    <row r="387" spans="1:9" ht="12.75">
      <c r="A387" s="212">
        <v>3</v>
      </c>
      <c r="B387" s="93" t="s">
        <v>506</v>
      </c>
      <c r="C387" s="212"/>
      <c r="D387" s="220"/>
      <c r="E387" s="216"/>
      <c r="F387" s="215"/>
      <c r="G387" s="221"/>
      <c r="H387" s="219"/>
      <c r="I387" s="51"/>
    </row>
    <row r="388" spans="1:9" ht="12.75">
      <c r="A388" s="212"/>
      <c r="B388" s="51" t="s">
        <v>491</v>
      </c>
      <c r="C388" s="215" t="s">
        <v>476</v>
      </c>
      <c r="D388" s="220">
        <v>40</v>
      </c>
      <c r="E388" s="216">
        <v>1</v>
      </c>
      <c r="F388" s="215">
        <v>1</v>
      </c>
      <c r="G388" s="220">
        <v>40</v>
      </c>
      <c r="H388" s="219">
        <f>34453/2365.83*G388</f>
        <v>582.5101549984572</v>
      </c>
      <c r="I388" s="51"/>
    </row>
    <row r="389" spans="1:9" ht="12.75">
      <c r="A389" s="212"/>
      <c r="B389" s="51" t="s">
        <v>462</v>
      </c>
      <c r="C389" s="215" t="s">
        <v>476</v>
      </c>
      <c r="D389" s="220">
        <v>50</v>
      </c>
      <c r="E389" s="216">
        <v>1</v>
      </c>
      <c r="F389" s="215">
        <v>1</v>
      </c>
      <c r="G389" s="220">
        <v>50</v>
      </c>
      <c r="H389" s="219">
        <f>34453/2365.83*G389</f>
        <v>728.1376937480716</v>
      </c>
      <c r="I389" s="51"/>
    </row>
    <row r="390" spans="1:9" ht="12.75">
      <c r="A390" s="212"/>
      <c r="B390" s="51" t="s">
        <v>460</v>
      </c>
      <c r="C390" s="215" t="s">
        <v>476</v>
      </c>
      <c r="D390" s="220">
        <v>60</v>
      </c>
      <c r="E390" s="216">
        <v>1</v>
      </c>
      <c r="F390" s="215">
        <v>1</v>
      </c>
      <c r="G390" s="220">
        <v>60</v>
      </c>
      <c r="H390" s="219">
        <f>34453/2365.83*G390</f>
        <v>873.7652324976858</v>
      </c>
      <c r="I390" s="51"/>
    </row>
    <row r="391" spans="1:9" ht="12.75">
      <c r="A391" s="212"/>
      <c r="B391" s="47" t="s">
        <v>413</v>
      </c>
      <c r="C391" s="215"/>
      <c r="D391" s="217">
        <f>SUM(D388:D390)</f>
        <v>150</v>
      </c>
      <c r="E391" s="216"/>
      <c r="F391" s="215"/>
      <c r="G391" s="217">
        <f>SUM(G388:G390)</f>
        <v>150</v>
      </c>
      <c r="H391" s="218">
        <f>SUM(H388:H390)</f>
        <v>2184.4130812442145</v>
      </c>
      <c r="I391" s="51"/>
    </row>
    <row r="392" spans="1:9" ht="15">
      <c r="A392" s="212"/>
      <c r="B392" s="47" t="s">
        <v>556</v>
      </c>
      <c r="C392" s="215"/>
      <c r="D392" s="217"/>
      <c r="E392" s="216"/>
      <c r="F392" s="215"/>
      <c r="G392" s="214">
        <f>G386+G391</f>
        <v>2365.8301</v>
      </c>
      <c r="H392" s="213">
        <f>H386+H391</f>
        <v>34453.00145627539</v>
      </c>
      <c r="I392" s="51"/>
    </row>
    <row r="393" spans="1:9" ht="12.75">
      <c r="A393" s="212">
        <v>4</v>
      </c>
      <c r="B393" s="47" t="s">
        <v>549</v>
      </c>
      <c r="C393" s="212" t="s">
        <v>53</v>
      </c>
      <c r="D393" s="211">
        <f>0.05+0.13+3.024+0.189</f>
        <v>3.3930000000000002</v>
      </c>
      <c r="E393" s="210"/>
      <c r="F393" s="205"/>
      <c r="G393" s="207">
        <v>112</v>
      </c>
      <c r="H393" s="209">
        <f>171+938+345</f>
        <v>1454</v>
      </c>
      <c r="I393" s="208" t="s">
        <v>501</v>
      </c>
    </row>
    <row r="394" spans="1:9" ht="15">
      <c r="A394" s="51"/>
      <c r="B394" s="47" t="s">
        <v>357</v>
      </c>
      <c r="C394" s="51"/>
      <c r="D394" s="51"/>
      <c r="E394" s="205"/>
      <c r="F394" s="205"/>
      <c r="G394" s="207"/>
      <c r="H394" s="206">
        <f>H386+H393+H391</f>
        <v>35907.00145627539</v>
      </c>
      <c r="I394" s="51"/>
    </row>
    <row r="395" spans="1:9" ht="15">
      <c r="A395" s="205"/>
      <c r="B395" s="204" t="s">
        <v>362</v>
      </c>
      <c r="C395" s="203"/>
      <c r="D395" s="203"/>
      <c r="E395" s="203"/>
      <c r="F395" s="203"/>
      <c r="G395" s="202"/>
      <c r="H395" s="201">
        <f>H128+H202+H250+H288+H309+H366+H394</f>
        <v>3678217.6073583364</v>
      </c>
      <c r="I395" s="51"/>
    </row>
    <row r="396" spans="1:7" ht="12.75">
      <c r="A396" s="185"/>
      <c r="B396" s="185"/>
      <c r="C396" s="185"/>
      <c r="D396" s="185"/>
      <c r="E396" s="185"/>
      <c r="F396" s="185"/>
      <c r="G396" s="185"/>
    </row>
    <row r="397" spans="1:12" s="188" customFormat="1" ht="25.5">
      <c r="A397" s="194"/>
      <c r="B397" s="189"/>
      <c r="C397" s="189"/>
      <c r="D397" s="189"/>
      <c r="F397" s="189"/>
      <c r="I397" s="198"/>
      <c r="K397" s="200" t="s">
        <v>565</v>
      </c>
      <c r="L397" s="199">
        <v>2376550.0000065654</v>
      </c>
    </row>
    <row r="398" spans="1:12" s="188" customFormat="1" ht="25.5">
      <c r="A398" s="194"/>
      <c r="H398" s="198"/>
      <c r="I398" s="187"/>
      <c r="K398" s="197" t="s">
        <v>566</v>
      </c>
      <c r="L398" s="196">
        <f>H395-L397</f>
        <v>1301667.607351771</v>
      </c>
    </row>
    <row r="399" spans="1:8" s="188" customFormat="1" ht="12.75">
      <c r="A399" s="194"/>
      <c r="H399" s="190"/>
    </row>
    <row r="400" spans="1:9" s="188" customFormat="1" ht="12.75" customHeight="1">
      <c r="A400" s="194"/>
      <c r="H400" s="187"/>
      <c r="I400" s="187"/>
    </row>
    <row r="401" spans="1:9" s="188" customFormat="1" ht="12.75">
      <c r="A401" s="194"/>
      <c r="H401" s="195"/>
      <c r="I401" s="187"/>
    </row>
    <row r="402" spans="1:9" s="188" customFormat="1" ht="12.75">
      <c r="A402" s="194"/>
      <c r="H402" s="190"/>
      <c r="I402" s="187"/>
    </row>
    <row r="403" spans="1:8" s="188" customFormat="1" ht="12.75">
      <c r="A403" s="194"/>
      <c r="H403" s="189"/>
    </row>
    <row r="404" spans="1:8" s="188" customFormat="1" ht="12.75">
      <c r="A404" s="194"/>
      <c r="G404" s="187"/>
      <c r="H404" s="190"/>
    </row>
    <row r="405" spans="1:9" ht="12.75">
      <c r="A405" s="182"/>
      <c r="G405" s="188"/>
      <c r="H405" s="186"/>
      <c r="I405" s="186"/>
    </row>
    <row r="406" ht="12.75">
      <c r="G406" s="188"/>
    </row>
    <row r="407" spans="2:9" ht="12.75">
      <c r="B407" s="188"/>
      <c r="C407" s="188"/>
      <c r="D407" s="188"/>
      <c r="E407" s="188"/>
      <c r="F407" s="188"/>
      <c r="G407" s="188"/>
      <c r="H407" s="193"/>
      <c r="I407" s="186"/>
    </row>
    <row r="408" spans="2:9" ht="12.75">
      <c r="B408" s="188"/>
      <c r="C408" s="188"/>
      <c r="D408" s="188"/>
      <c r="E408" s="188"/>
      <c r="F408" s="188"/>
      <c r="G408" s="188"/>
      <c r="I408" s="186"/>
    </row>
    <row r="409" spans="2:6" ht="12.75">
      <c r="B409" s="192"/>
      <c r="C409" s="188"/>
      <c r="D409" s="188"/>
      <c r="E409" s="188"/>
      <c r="F409" s="188"/>
    </row>
    <row r="410" ht="12.75">
      <c r="H410" s="186"/>
    </row>
    <row r="416" spans="2:7" ht="12.75">
      <c r="B416" s="189"/>
      <c r="C416" s="189"/>
      <c r="D416" s="189"/>
      <c r="E416" s="191"/>
      <c r="F416" s="189"/>
      <c r="G416" s="190"/>
    </row>
    <row r="417" spans="2:7" ht="12.75">
      <c r="B417" s="189"/>
      <c r="C417" s="189"/>
      <c r="D417" s="189"/>
      <c r="E417" s="189"/>
      <c r="F417" s="189"/>
      <c r="G417" s="189"/>
    </row>
    <row r="418" spans="2:7" ht="12.75">
      <c r="B418" s="183"/>
      <c r="C418" s="189"/>
      <c r="D418" s="189"/>
      <c r="G418" s="189"/>
    </row>
    <row r="419" spans="2:7" ht="12.75">
      <c r="B419" s="183"/>
      <c r="C419" s="189"/>
      <c r="D419" s="189"/>
      <c r="G419" s="190"/>
    </row>
    <row r="420" spans="2:7" ht="12.75">
      <c r="B420" s="183"/>
      <c r="C420" s="189"/>
      <c r="D420" s="189"/>
      <c r="G420" s="188"/>
    </row>
    <row r="421" spans="2:7" ht="12.75">
      <c r="B421" s="183"/>
      <c r="G421" s="187"/>
    </row>
    <row r="422" ht="12.75">
      <c r="B422" s="183"/>
    </row>
    <row r="423" spans="2:7" ht="12.75">
      <c r="B423" s="183"/>
      <c r="G423" s="186"/>
    </row>
    <row r="424" ht="12.75">
      <c r="B424" s="183"/>
    </row>
    <row r="425" spans="1:2" ht="12.75">
      <c r="A425" s="184"/>
      <c r="B425" s="183"/>
    </row>
    <row r="426" ht="12.75">
      <c r="B426" s="183"/>
    </row>
    <row r="427" ht="12.75">
      <c r="B427" s="183"/>
    </row>
    <row r="454" ht="12.75">
      <c r="B454" s="182"/>
    </row>
  </sheetData>
  <sheetProtection/>
  <mergeCells count="21">
    <mergeCell ref="A367:H367"/>
    <mergeCell ref="A310:H310"/>
    <mergeCell ref="A311:H311"/>
    <mergeCell ref="A317:H317"/>
    <mergeCell ref="A318:H318"/>
    <mergeCell ref="A330:H330"/>
    <mergeCell ref="A133:H133"/>
    <mergeCell ref="A203:H203"/>
    <mergeCell ref="A252:H252"/>
    <mergeCell ref="A289:H289"/>
    <mergeCell ref="A290:H290"/>
    <mergeCell ref="A204:H204"/>
    <mergeCell ref="A251:H251"/>
    <mergeCell ref="A16:H16"/>
    <mergeCell ref="A17:H17"/>
    <mergeCell ref="A18:H18"/>
    <mergeCell ref="A19:H19"/>
    <mergeCell ref="A20:H20"/>
    <mergeCell ref="B87:I87"/>
    <mergeCell ref="A129:G129"/>
    <mergeCell ref="A132:H13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454"/>
  <sheetViews>
    <sheetView zoomScalePageLayoutView="0" workbookViewId="0" topLeftCell="A1">
      <selection activeCell="B213" sqref="B213"/>
    </sheetView>
  </sheetViews>
  <sheetFormatPr defaultColWidth="9.00390625" defaultRowHeight="12.75"/>
  <cols>
    <col min="1" max="1" width="4.125" style="181" customWidth="1"/>
    <col min="2" max="2" width="74.125" style="181" customWidth="1"/>
    <col min="3" max="3" width="9.625" style="181" customWidth="1"/>
    <col min="4" max="4" width="9.00390625" style="181" customWidth="1"/>
    <col min="5" max="5" width="9.875" style="181" customWidth="1"/>
    <col min="6" max="6" width="9.375" style="181" customWidth="1"/>
    <col min="7" max="7" width="10.00390625" style="181" customWidth="1"/>
    <col min="8" max="8" width="11.625" style="181" customWidth="1"/>
    <col min="9" max="9" width="11.00390625" style="181" customWidth="1"/>
    <col min="10" max="10" width="10.25390625" style="181" customWidth="1"/>
    <col min="11" max="16384" width="9.125" style="181" customWidth="1"/>
  </cols>
  <sheetData>
    <row r="1" spans="6:9" ht="14.25">
      <c r="F1" s="318" t="s">
        <v>277</v>
      </c>
      <c r="G1" s="318"/>
      <c r="H1" s="318"/>
      <c r="I1" s="318"/>
    </row>
    <row r="2" spans="6:9" ht="14.25">
      <c r="F2" s="318" t="s">
        <v>280</v>
      </c>
      <c r="G2" s="318"/>
      <c r="H2" s="318"/>
      <c r="I2" s="318"/>
    </row>
    <row r="3" spans="6:9" ht="14.25">
      <c r="F3" s="318" t="s">
        <v>278</v>
      </c>
      <c r="G3" s="318"/>
      <c r="H3" s="318"/>
      <c r="I3" s="318"/>
    </row>
    <row r="4" spans="6:9" ht="14.25">
      <c r="F4" s="318" t="s">
        <v>358</v>
      </c>
      <c r="G4" s="318"/>
      <c r="H4" s="318"/>
      <c r="I4" s="318"/>
    </row>
    <row r="5" spans="6:9" ht="14.25">
      <c r="F5" s="318" t="s">
        <v>279</v>
      </c>
      <c r="G5" s="318"/>
      <c r="H5" s="318"/>
      <c r="I5" s="318"/>
    </row>
    <row r="6" ht="12.75" customHeight="1"/>
    <row r="7" ht="12.75" customHeight="1"/>
    <row r="8" ht="12.75" customHeight="1"/>
    <row r="9" spans="2:6" ht="15.75">
      <c r="B9" s="315"/>
      <c r="C9" s="316" t="s">
        <v>520</v>
      </c>
      <c r="D9" s="315"/>
      <c r="E9" s="315"/>
      <c r="F9" s="315"/>
    </row>
    <row r="10" spans="1:6" ht="15.75">
      <c r="A10" s="183"/>
      <c r="B10" s="317"/>
      <c r="C10" s="316" t="s">
        <v>1</v>
      </c>
      <c r="D10" s="317"/>
      <c r="E10" s="317"/>
      <c r="F10" s="317"/>
    </row>
    <row r="11" spans="1:7" ht="15.75">
      <c r="A11" s="183"/>
      <c r="B11" s="315"/>
      <c r="C11" s="316" t="s">
        <v>290</v>
      </c>
      <c r="D11" s="315"/>
      <c r="E11" s="315"/>
      <c r="F11" s="315"/>
      <c r="G11" s="314"/>
    </row>
    <row r="13" ht="12.75">
      <c r="D13" s="313"/>
    </row>
    <row r="14" spans="1:10" ht="51">
      <c r="A14" s="312" t="s">
        <v>27</v>
      </c>
      <c r="B14" s="231" t="s">
        <v>2</v>
      </c>
      <c r="C14" s="231" t="s">
        <v>3</v>
      </c>
      <c r="D14" s="312" t="s">
        <v>26</v>
      </c>
      <c r="E14" s="231" t="s">
        <v>410</v>
      </c>
      <c r="F14" s="231" t="s">
        <v>409</v>
      </c>
      <c r="G14" s="231" t="s">
        <v>487</v>
      </c>
      <c r="H14" s="231" t="s">
        <v>411</v>
      </c>
      <c r="I14" s="231" t="s">
        <v>578</v>
      </c>
      <c r="J14" s="93" t="s">
        <v>7</v>
      </c>
    </row>
    <row r="15" spans="1:10" ht="12.75">
      <c r="A15" s="303"/>
      <c r="B15" s="303">
        <v>2</v>
      </c>
      <c r="C15" s="303">
        <v>3</v>
      </c>
      <c r="D15" s="303">
        <v>4</v>
      </c>
      <c r="E15" s="303">
        <v>5</v>
      </c>
      <c r="F15" s="303">
        <v>6</v>
      </c>
      <c r="G15" s="303">
        <v>7</v>
      </c>
      <c r="H15" s="311">
        <v>8</v>
      </c>
      <c r="I15" s="311"/>
      <c r="J15" s="212">
        <v>9</v>
      </c>
    </row>
    <row r="16" spans="1:10" ht="12.75">
      <c r="A16" s="425" t="s">
        <v>8</v>
      </c>
      <c r="B16" s="425"/>
      <c r="C16" s="425"/>
      <c r="D16" s="425"/>
      <c r="E16" s="425"/>
      <c r="F16" s="425"/>
      <c r="G16" s="425"/>
      <c r="H16" s="426"/>
      <c r="I16" s="320"/>
      <c r="J16" s="282"/>
    </row>
    <row r="17" spans="1:10" ht="12.75">
      <c r="A17" s="427" t="s">
        <v>9</v>
      </c>
      <c r="B17" s="392"/>
      <c r="C17" s="392"/>
      <c r="D17" s="392"/>
      <c r="E17" s="392"/>
      <c r="F17" s="392"/>
      <c r="G17" s="392"/>
      <c r="H17" s="392"/>
      <c r="I17" s="321"/>
      <c r="J17" s="310"/>
    </row>
    <row r="18" spans="1:10" ht="12.75">
      <c r="A18" s="393" t="s">
        <v>10</v>
      </c>
      <c r="B18" s="422"/>
      <c r="C18" s="422"/>
      <c r="D18" s="422"/>
      <c r="E18" s="422"/>
      <c r="F18" s="422"/>
      <c r="G18" s="422"/>
      <c r="H18" s="422"/>
      <c r="I18" s="185"/>
      <c r="J18" s="309"/>
    </row>
    <row r="19" spans="1:10" ht="12.75">
      <c r="A19" s="393" t="s">
        <v>11</v>
      </c>
      <c r="B19" s="422"/>
      <c r="C19" s="422"/>
      <c r="D19" s="422"/>
      <c r="E19" s="422"/>
      <c r="F19" s="422"/>
      <c r="G19" s="422"/>
      <c r="H19" s="422"/>
      <c r="I19" s="185"/>
      <c r="J19" s="309"/>
    </row>
    <row r="20" spans="1:10" ht="12.75">
      <c r="A20" s="394" t="s">
        <v>12</v>
      </c>
      <c r="B20" s="395"/>
      <c r="C20" s="395"/>
      <c r="D20" s="395"/>
      <c r="E20" s="395"/>
      <c r="F20" s="395"/>
      <c r="G20" s="395"/>
      <c r="H20" s="395"/>
      <c r="I20" s="253"/>
      <c r="J20" s="308"/>
    </row>
    <row r="21" spans="1:10" ht="12.75">
      <c r="A21" s="307" t="s">
        <v>13</v>
      </c>
      <c r="B21" s="283" t="s">
        <v>28</v>
      </c>
      <c r="C21" s="306"/>
      <c r="D21" s="306"/>
      <c r="E21" s="305"/>
      <c r="F21" s="305"/>
      <c r="G21" s="305"/>
      <c r="H21" s="304"/>
      <c r="I21" s="304"/>
      <c r="J21" s="244"/>
    </row>
    <row r="22" spans="1:10" ht="12.75">
      <c r="A22" s="227"/>
      <c r="B22" s="47" t="s">
        <v>29</v>
      </c>
      <c r="C22" s="205"/>
      <c r="D22" s="205"/>
      <c r="E22" s="215"/>
      <c r="F22" s="215"/>
      <c r="G22" s="205"/>
      <c r="H22" s="223"/>
      <c r="I22" s="223"/>
      <c r="J22" s="51"/>
    </row>
    <row r="23" spans="1:10" ht="12.75">
      <c r="A23" s="227"/>
      <c r="B23" s="51" t="s">
        <v>30</v>
      </c>
      <c r="C23" s="212" t="s">
        <v>43</v>
      </c>
      <c r="D23" s="212">
        <f>2000/10</f>
        <v>200</v>
      </c>
      <c r="E23" s="216">
        <v>20</v>
      </c>
      <c r="F23" s="216">
        <v>0.47</v>
      </c>
      <c r="G23" s="300">
        <f aca="true" t="shared" si="0" ref="G23:G85">D23*E23*F23</f>
        <v>1880</v>
      </c>
      <c r="H23" s="291">
        <f aca="true" t="shared" si="1" ref="H23:H85">790730/39258.45*G23</f>
        <v>37866.30394220862</v>
      </c>
      <c r="I23" s="291"/>
      <c r="J23" s="51"/>
    </row>
    <row r="24" spans="1:10" ht="12.75">
      <c r="A24" s="227"/>
      <c r="B24" s="51" t="s">
        <v>31</v>
      </c>
      <c r="C24" s="212" t="s">
        <v>43</v>
      </c>
      <c r="D24" s="212">
        <f>400/10</f>
        <v>40</v>
      </c>
      <c r="E24" s="216">
        <v>20</v>
      </c>
      <c r="F24" s="216">
        <v>0.47</v>
      </c>
      <c r="G24" s="300">
        <f t="shared" si="0"/>
        <v>376</v>
      </c>
      <c r="H24" s="291">
        <f t="shared" si="1"/>
        <v>7573.260788441725</v>
      </c>
      <c r="I24" s="291"/>
      <c r="J24" s="51"/>
    </row>
    <row r="25" spans="1:10" ht="12.75">
      <c r="A25" s="227"/>
      <c r="B25" s="51" t="s">
        <v>32</v>
      </c>
      <c r="C25" s="212" t="s">
        <v>43</v>
      </c>
      <c r="D25" s="212">
        <f>574/10</f>
        <v>57.4</v>
      </c>
      <c r="E25" s="216">
        <v>20</v>
      </c>
      <c r="F25" s="216">
        <v>0.47</v>
      </c>
      <c r="G25" s="300">
        <f t="shared" si="0"/>
        <v>539.56</v>
      </c>
      <c r="H25" s="291">
        <f t="shared" si="1"/>
        <v>10867.629231413874</v>
      </c>
      <c r="I25" s="291"/>
      <c r="J25" s="51"/>
    </row>
    <row r="26" spans="1:10" ht="12.75">
      <c r="A26" s="227"/>
      <c r="B26" s="51" t="s">
        <v>33</v>
      </c>
      <c r="C26" s="212" t="s">
        <v>43</v>
      </c>
      <c r="D26" s="212">
        <f>300/10</f>
        <v>30</v>
      </c>
      <c r="E26" s="216">
        <v>20</v>
      </c>
      <c r="F26" s="216">
        <v>0.47</v>
      </c>
      <c r="G26" s="300">
        <f t="shared" si="0"/>
        <v>282</v>
      </c>
      <c r="H26" s="291">
        <f t="shared" si="1"/>
        <v>5679.945591331294</v>
      </c>
      <c r="I26" s="291"/>
      <c r="J26" s="51"/>
    </row>
    <row r="27" spans="1:10" ht="12.75">
      <c r="A27" s="227"/>
      <c r="B27" s="51" t="s">
        <v>34</v>
      </c>
      <c r="C27" s="212" t="s">
        <v>43</v>
      </c>
      <c r="D27" s="212">
        <f>1930/10</f>
        <v>193</v>
      </c>
      <c r="E27" s="216">
        <v>20</v>
      </c>
      <c r="F27" s="216">
        <v>0.47</v>
      </c>
      <c r="G27" s="300">
        <f t="shared" si="0"/>
        <v>1814.1999999999998</v>
      </c>
      <c r="H27" s="291">
        <f t="shared" si="1"/>
        <v>36540.98330423132</v>
      </c>
      <c r="I27" s="291"/>
      <c r="J27" s="51"/>
    </row>
    <row r="28" spans="1:10" ht="12.75">
      <c r="A28" s="227"/>
      <c r="B28" s="51" t="s">
        <v>35</v>
      </c>
      <c r="C28" s="212" t="s">
        <v>43</v>
      </c>
      <c r="D28" s="212">
        <f>960/10</f>
        <v>96</v>
      </c>
      <c r="E28" s="216">
        <v>20</v>
      </c>
      <c r="F28" s="216">
        <v>0.47</v>
      </c>
      <c r="G28" s="300">
        <f t="shared" si="0"/>
        <v>902.4</v>
      </c>
      <c r="H28" s="291">
        <f t="shared" si="1"/>
        <v>18175.825892260138</v>
      </c>
      <c r="I28" s="291"/>
      <c r="J28" s="51"/>
    </row>
    <row r="29" spans="1:10" ht="12.75">
      <c r="A29" s="215"/>
      <c r="B29" s="51" t="s">
        <v>36</v>
      </c>
      <c r="C29" s="212" t="s">
        <v>43</v>
      </c>
      <c r="D29" s="220">
        <f>1418/10</f>
        <v>141.8</v>
      </c>
      <c r="E29" s="216">
        <v>20</v>
      </c>
      <c r="F29" s="216">
        <v>0.47</v>
      </c>
      <c r="G29" s="300">
        <f t="shared" si="0"/>
        <v>1332.9199999999998</v>
      </c>
      <c r="H29" s="291">
        <f t="shared" si="1"/>
        <v>26847.209495025912</v>
      </c>
      <c r="I29" s="291"/>
      <c r="J29" s="51"/>
    </row>
    <row r="30" spans="1:10" ht="12.75">
      <c r="A30" s="215"/>
      <c r="B30" s="51" t="s">
        <v>37</v>
      </c>
      <c r="C30" s="212" t="s">
        <v>43</v>
      </c>
      <c r="D30" s="212">
        <f>330/10</f>
        <v>33</v>
      </c>
      <c r="E30" s="216">
        <v>20</v>
      </c>
      <c r="F30" s="216">
        <v>0.47</v>
      </c>
      <c r="G30" s="300">
        <f t="shared" si="0"/>
        <v>310.2</v>
      </c>
      <c r="H30" s="291">
        <f t="shared" si="1"/>
        <v>6247.940150464423</v>
      </c>
      <c r="I30" s="291"/>
      <c r="J30" s="51"/>
    </row>
    <row r="31" spans="1:10" ht="12.75">
      <c r="A31" s="215"/>
      <c r="B31" s="51" t="s">
        <v>38</v>
      </c>
      <c r="C31" s="212" t="s">
        <v>43</v>
      </c>
      <c r="D31" s="212">
        <f>960/10</f>
        <v>96</v>
      </c>
      <c r="E31" s="216">
        <v>20</v>
      </c>
      <c r="F31" s="216">
        <v>0.47</v>
      </c>
      <c r="G31" s="300">
        <f t="shared" si="0"/>
        <v>902.4</v>
      </c>
      <c r="H31" s="291">
        <f t="shared" si="1"/>
        <v>18175.825892260138</v>
      </c>
      <c r="I31" s="291"/>
      <c r="J31" s="51"/>
    </row>
    <row r="32" spans="1:10" ht="12.75">
      <c r="A32" s="227"/>
      <c r="B32" s="51" t="s">
        <v>39</v>
      </c>
      <c r="C32" s="212" t="s">
        <v>43</v>
      </c>
      <c r="D32" s="212">
        <f>2200/10</f>
        <v>220</v>
      </c>
      <c r="E32" s="216">
        <v>10</v>
      </c>
      <c r="F32" s="216">
        <v>0.47</v>
      </c>
      <c r="G32" s="300">
        <f t="shared" si="0"/>
        <v>1034</v>
      </c>
      <c r="H32" s="291">
        <f t="shared" si="1"/>
        <v>20826.467168214745</v>
      </c>
      <c r="I32" s="291"/>
      <c r="J32" s="51"/>
    </row>
    <row r="33" spans="1:10" ht="12.75">
      <c r="A33" s="227"/>
      <c r="B33" s="51" t="s">
        <v>40</v>
      </c>
      <c r="C33" s="212" t="s">
        <v>43</v>
      </c>
      <c r="D33" s="220">
        <f>1743/10</f>
        <v>174.3</v>
      </c>
      <c r="E33" s="216">
        <v>10</v>
      </c>
      <c r="F33" s="216">
        <v>0.47</v>
      </c>
      <c r="G33" s="300">
        <f t="shared" si="0"/>
        <v>819.2099999999999</v>
      </c>
      <c r="H33" s="291">
        <f t="shared" si="1"/>
        <v>16500.241942817407</v>
      </c>
      <c r="I33" s="291"/>
      <c r="J33" s="51"/>
    </row>
    <row r="34" spans="1:10" ht="12.75">
      <c r="A34" s="227"/>
      <c r="B34" s="51" t="s">
        <v>41</v>
      </c>
      <c r="C34" s="212" t="s">
        <v>43</v>
      </c>
      <c r="D34" s="212">
        <f>2500/10</f>
        <v>250</v>
      </c>
      <c r="E34" s="216">
        <v>6</v>
      </c>
      <c r="F34" s="216">
        <v>0.47</v>
      </c>
      <c r="G34" s="300">
        <f t="shared" si="0"/>
        <v>705</v>
      </c>
      <c r="H34" s="291">
        <f t="shared" si="1"/>
        <v>14199.863978328234</v>
      </c>
      <c r="I34" s="291"/>
      <c r="J34" s="51"/>
    </row>
    <row r="35" spans="1:10" ht="12.75">
      <c r="A35" s="227"/>
      <c r="B35" s="51" t="s">
        <v>42</v>
      </c>
      <c r="C35" s="212" t="s">
        <v>43</v>
      </c>
      <c r="D35" s="212">
        <f>850/10</f>
        <v>85</v>
      </c>
      <c r="E35" s="216">
        <v>6</v>
      </c>
      <c r="F35" s="216">
        <v>0.47</v>
      </c>
      <c r="G35" s="300">
        <f t="shared" si="0"/>
        <v>239.7</v>
      </c>
      <c r="H35" s="291">
        <f t="shared" si="1"/>
        <v>4827.9537526316</v>
      </c>
      <c r="I35" s="291"/>
      <c r="J35" s="51"/>
    </row>
    <row r="36" spans="1:10" ht="12.75">
      <c r="A36" s="227"/>
      <c r="B36" s="51" t="s">
        <v>509</v>
      </c>
      <c r="C36" s="212" t="s">
        <v>43</v>
      </c>
      <c r="D36" s="212">
        <f>420/10</f>
        <v>42</v>
      </c>
      <c r="E36" s="216">
        <v>6</v>
      </c>
      <c r="F36" s="216">
        <v>0.47</v>
      </c>
      <c r="G36" s="300">
        <f t="shared" si="0"/>
        <v>118.44</v>
      </c>
      <c r="H36" s="291">
        <f t="shared" si="1"/>
        <v>2385.5771483591434</v>
      </c>
      <c r="I36" s="291"/>
      <c r="J36" s="51"/>
    </row>
    <row r="37" spans="1:10" ht="12.75">
      <c r="A37" s="227"/>
      <c r="B37" s="51" t="s">
        <v>510</v>
      </c>
      <c r="C37" s="212" t="s">
        <v>43</v>
      </c>
      <c r="D37" s="212">
        <f>550/10</f>
        <v>55</v>
      </c>
      <c r="E37" s="216">
        <v>6</v>
      </c>
      <c r="F37" s="216">
        <v>0.47</v>
      </c>
      <c r="G37" s="300">
        <f t="shared" si="0"/>
        <v>155.1</v>
      </c>
      <c r="H37" s="291">
        <f t="shared" si="1"/>
        <v>3123.9700752322115</v>
      </c>
      <c r="I37" s="291"/>
      <c r="J37" s="51"/>
    </row>
    <row r="38" spans="1:10" ht="12.75">
      <c r="A38" s="227"/>
      <c r="B38" s="51" t="s">
        <v>511</v>
      </c>
      <c r="C38" s="212" t="s">
        <v>43</v>
      </c>
      <c r="D38" s="212">
        <f>2000/10</f>
        <v>200</v>
      </c>
      <c r="E38" s="216">
        <v>6</v>
      </c>
      <c r="F38" s="216">
        <v>0.47</v>
      </c>
      <c r="G38" s="300">
        <f t="shared" si="0"/>
        <v>564</v>
      </c>
      <c r="H38" s="291">
        <f t="shared" si="1"/>
        <v>11359.891182662588</v>
      </c>
      <c r="I38" s="291"/>
      <c r="J38" s="51"/>
    </row>
    <row r="39" spans="1:10" ht="12.75">
      <c r="A39" s="303">
        <v>2</v>
      </c>
      <c r="B39" s="51" t="s">
        <v>512</v>
      </c>
      <c r="C39" s="212"/>
      <c r="D39" s="212"/>
      <c r="E39" s="216"/>
      <c r="F39" s="216"/>
      <c r="G39" s="300">
        <f t="shared" si="0"/>
        <v>0</v>
      </c>
      <c r="H39" s="291">
        <f t="shared" si="1"/>
        <v>0</v>
      </c>
      <c r="I39" s="291"/>
      <c r="J39" s="51"/>
    </row>
    <row r="40" spans="1:10" ht="12.75">
      <c r="A40" s="227"/>
      <c r="B40" s="51" t="s">
        <v>517</v>
      </c>
      <c r="C40" s="212" t="s">
        <v>53</v>
      </c>
      <c r="D40" s="212">
        <v>160</v>
      </c>
      <c r="E40" s="216">
        <v>6</v>
      </c>
      <c r="F40" s="216">
        <v>0.091</v>
      </c>
      <c r="G40" s="300">
        <f t="shared" si="0"/>
        <v>87.36</v>
      </c>
      <c r="H40" s="291">
        <f t="shared" si="1"/>
        <v>1759.5746342507157</v>
      </c>
      <c r="I40" s="291"/>
      <c r="J40" s="51"/>
    </row>
    <row r="41" spans="1:10" ht="12.75">
      <c r="A41" s="227">
        <v>3</v>
      </c>
      <c r="B41" s="51" t="s">
        <v>44</v>
      </c>
      <c r="C41" s="212" t="s">
        <v>52</v>
      </c>
      <c r="D41" s="212">
        <v>320</v>
      </c>
      <c r="E41" s="215">
        <v>4</v>
      </c>
      <c r="F41" s="215">
        <v>0.91</v>
      </c>
      <c r="G41" s="300">
        <f t="shared" si="0"/>
        <v>1164.8</v>
      </c>
      <c r="H41" s="291">
        <f t="shared" si="1"/>
        <v>23460.995123342876</v>
      </c>
      <c r="I41" s="291"/>
      <c r="J41" s="51"/>
    </row>
    <row r="42" spans="1:10" ht="12.75">
      <c r="A42" s="227">
        <v>4</v>
      </c>
      <c r="B42" s="51" t="s">
        <v>46</v>
      </c>
      <c r="C42" s="212" t="s">
        <v>52</v>
      </c>
      <c r="D42" s="212">
        <v>310</v>
      </c>
      <c r="E42" s="215">
        <v>4</v>
      </c>
      <c r="F42" s="215">
        <v>0.3</v>
      </c>
      <c r="G42" s="300">
        <f t="shared" si="0"/>
        <v>372</v>
      </c>
      <c r="H42" s="291">
        <f t="shared" si="1"/>
        <v>7492.694184309366</v>
      </c>
      <c r="I42" s="291"/>
      <c r="J42" s="51"/>
    </row>
    <row r="43" spans="1:10" ht="12.75">
      <c r="A43" s="227">
        <v>5</v>
      </c>
      <c r="B43" s="51" t="s">
        <v>47</v>
      </c>
      <c r="C43" s="212" t="s">
        <v>52</v>
      </c>
      <c r="D43" s="212">
        <v>350</v>
      </c>
      <c r="E43" s="215">
        <v>4</v>
      </c>
      <c r="F43" s="215">
        <v>0.91</v>
      </c>
      <c r="G43" s="300">
        <f t="shared" si="0"/>
        <v>1274</v>
      </c>
      <c r="H43" s="291">
        <f t="shared" si="1"/>
        <v>25660.46341615627</v>
      </c>
      <c r="I43" s="291"/>
      <c r="J43" s="51"/>
    </row>
    <row r="44" spans="1:10" ht="12.75">
      <c r="A44" s="227">
        <v>6</v>
      </c>
      <c r="B44" s="51" t="s">
        <v>48</v>
      </c>
      <c r="C44" s="212" t="s">
        <v>53</v>
      </c>
      <c r="D44" s="220">
        <v>75.39</v>
      </c>
      <c r="E44" s="215">
        <v>6</v>
      </c>
      <c r="F44" s="215">
        <v>6.25</v>
      </c>
      <c r="G44" s="300">
        <f t="shared" si="0"/>
        <v>2827.125</v>
      </c>
      <c r="H44" s="291">
        <f t="shared" si="1"/>
        <v>56942.9651769237</v>
      </c>
      <c r="I44" s="291"/>
      <c r="J44" s="51"/>
    </row>
    <row r="45" spans="1:10" ht="12.75">
      <c r="A45" s="227">
        <v>7</v>
      </c>
      <c r="B45" s="51" t="s">
        <v>49</v>
      </c>
      <c r="C45" s="212" t="s">
        <v>53</v>
      </c>
      <c r="D45" s="220">
        <v>323.47</v>
      </c>
      <c r="E45" s="215">
        <v>6</v>
      </c>
      <c r="F45" s="215">
        <v>0.31</v>
      </c>
      <c r="G45" s="300">
        <f t="shared" si="0"/>
        <v>601.6542000000001</v>
      </c>
      <c r="H45" s="291">
        <f t="shared" si="1"/>
        <v>12118.308938992755</v>
      </c>
      <c r="I45" s="291"/>
      <c r="J45" s="51"/>
    </row>
    <row r="46" spans="1:10" ht="12.75">
      <c r="A46" s="227">
        <v>8</v>
      </c>
      <c r="B46" s="51" t="s">
        <v>223</v>
      </c>
      <c r="C46" s="212" t="s">
        <v>53</v>
      </c>
      <c r="D46" s="220">
        <v>61.18</v>
      </c>
      <c r="E46" s="215">
        <v>32</v>
      </c>
      <c r="F46" s="215">
        <v>0.162</v>
      </c>
      <c r="G46" s="300">
        <f t="shared" si="0"/>
        <v>317.15712</v>
      </c>
      <c r="H46" s="291">
        <f t="shared" si="1"/>
        <v>6388.068033699752</v>
      </c>
      <c r="I46" s="291"/>
      <c r="J46" s="51"/>
    </row>
    <row r="47" spans="1:10" ht="12.75">
      <c r="A47" s="227">
        <v>9</v>
      </c>
      <c r="B47" s="51" t="s">
        <v>513</v>
      </c>
      <c r="C47" s="212" t="s">
        <v>251</v>
      </c>
      <c r="D47" s="220">
        <v>10</v>
      </c>
      <c r="E47" s="215">
        <v>2</v>
      </c>
      <c r="F47" s="215">
        <v>1.1</v>
      </c>
      <c r="G47" s="300">
        <f t="shared" si="0"/>
        <v>22</v>
      </c>
      <c r="H47" s="291">
        <f t="shared" si="1"/>
        <v>443.1163227279733</v>
      </c>
      <c r="I47" s="291"/>
      <c r="J47" s="51"/>
    </row>
    <row r="48" spans="1:10" ht="12.75">
      <c r="A48" s="227">
        <v>10</v>
      </c>
      <c r="B48" s="51" t="s">
        <v>514</v>
      </c>
      <c r="C48" s="212" t="s">
        <v>254</v>
      </c>
      <c r="D48" s="220">
        <v>100</v>
      </c>
      <c r="E48" s="215">
        <v>2</v>
      </c>
      <c r="F48" s="215">
        <v>0.37</v>
      </c>
      <c r="G48" s="300">
        <f t="shared" si="0"/>
        <v>74</v>
      </c>
      <c r="H48" s="291">
        <f t="shared" si="1"/>
        <v>1490.4821764486373</v>
      </c>
      <c r="I48" s="291"/>
      <c r="J48" s="51"/>
    </row>
    <row r="49" spans="1:10" ht="12.75">
      <c r="A49" s="227">
        <v>11</v>
      </c>
      <c r="B49" s="51" t="s">
        <v>530</v>
      </c>
      <c r="C49" s="212" t="s">
        <v>295</v>
      </c>
      <c r="D49" s="220">
        <v>70</v>
      </c>
      <c r="E49" s="215">
        <v>1</v>
      </c>
      <c r="F49" s="215">
        <v>1.3</v>
      </c>
      <c r="G49" s="300">
        <f t="shared" si="0"/>
        <v>91</v>
      </c>
      <c r="H49" s="291">
        <f t="shared" si="1"/>
        <v>1832.8902440111622</v>
      </c>
      <c r="I49" s="291"/>
      <c r="J49" s="51"/>
    </row>
    <row r="50" spans="1:10" ht="12.75">
      <c r="A50" s="227"/>
      <c r="B50" s="51" t="s">
        <v>515</v>
      </c>
      <c r="C50" s="212"/>
      <c r="D50" s="220"/>
      <c r="E50" s="215"/>
      <c r="F50" s="215"/>
      <c r="G50" s="300">
        <f t="shared" si="0"/>
        <v>0</v>
      </c>
      <c r="H50" s="291">
        <f t="shared" si="1"/>
        <v>0</v>
      </c>
      <c r="I50" s="291"/>
      <c r="J50" s="51"/>
    </row>
    <row r="51" spans="1:10" ht="12.75">
      <c r="A51" s="227"/>
      <c r="B51" s="51" t="s">
        <v>516</v>
      </c>
      <c r="C51" s="212"/>
      <c r="D51" s="220"/>
      <c r="E51" s="215"/>
      <c r="F51" s="215"/>
      <c r="G51" s="300">
        <f t="shared" si="0"/>
        <v>0</v>
      </c>
      <c r="H51" s="291">
        <f t="shared" si="1"/>
        <v>0</v>
      </c>
      <c r="I51" s="291"/>
      <c r="J51" s="51"/>
    </row>
    <row r="52" spans="1:10" ht="12.75">
      <c r="A52" s="227">
        <v>12</v>
      </c>
      <c r="B52" s="51" t="s">
        <v>482</v>
      </c>
      <c r="C52" s="212" t="s">
        <v>61</v>
      </c>
      <c r="D52" s="302">
        <f>16*5</f>
        <v>80</v>
      </c>
      <c r="E52" s="215">
        <v>10</v>
      </c>
      <c r="F52" s="215">
        <v>1</v>
      </c>
      <c r="G52" s="300">
        <f t="shared" si="0"/>
        <v>800</v>
      </c>
      <c r="H52" s="291">
        <f t="shared" si="1"/>
        <v>16113.320826471756</v>
      </c>
      <c r="I52" s="291"/>
      <c r="J52" s="51"/>
    </row>
    <row r="53" spans="1:10" ht="12.75">
      <c r="A53" s="227"/>
      <c r="B53" s="51" t="s">
        <v>479</v>
      </c>
      <c r="C53" s="212" t="s">
        <v>61</v>
      </c>
      <c r="D53" s="220">
        <f>54+104+3</f>
        <v>161</v>
      </c>
      <c r="E53" s="215">
        <v>1</v>
      </c>
      <c r="F53" s="215">
        <v>1</v>
      </c>
      <c r="G53" s="300">
        <f t="shared" si="0"/>
        <v>161</v>
      </c>
      <c r="H53" s="291">
        <f t="shared" si="1"/>
        <v>3242.805816327441</v>
      </c>
      <c r="I53" s="291"/>
      <c r="J53" s="51"/>
    </row>
    <row r="54" spans="1:10" ht="12.75">
      <c r="A54" s="227"/>
      <c r="B54" s="51" t="s">
        <v>480</v>
      </c>
      <c r="C54" s="212" t="s">
        <v>61</v>
      </c>
      <c r="D54" s="220">
        <f>64+80+3</f>
        <v>147</v>
      </c>
      <c r="E54" s="215">
        <v>1</v>
      </c>
      <c r="F54" s="215">
        <v>1</v>
      </c>
      <c r="G54" s="300">
        <f t="shared" si="0"/>
        <v>147</v>
      </c>
      <c r="H54" s="291">
        <f t="shared" si="1"/>
        <v>2960.822701864185</v>
      </c>
      <c r="I54" s="291"/>
      <c r="J54" s="51"/>
    </row>
    <row r="55" spans="1:10" ht="12.75">
      <c r="A55" s="227"/>
      <c r="B55" s="51" t="s">
        <v>481</v>
      </c>
      <c r="C55" s="212" t="s">
        <v>61</v>
      </c>
      <c r="D55" s="220">
        <f>48+4</f>
        <v>52</v>
      </c>
      <c r="E55" s="215">
        <v>1</v>
      </c>
      <c r="F55" s="215">
        <v>1</v>
      </c>
      <c r="G55" s="300">
        <f t="shared" si="0"/>
        <v>52</v>
      </c>
      <c r="H55" s="291">
        <f t="shared" si="1"/>
        <v>1047.365853720664</v>
      </c>
      <c r="I55" s="291"/>
      <c r="J55" s="51"/>
    </row>
    <row r="56" spans="1:10" ht="12.75">
      <c r="A56" s="227"/>
      <c r="B56" s="51" t="s">
        <v>503</v>
      </c>
      <c r="C56" s="212" t="s">
        <v>61</v>
      </c>
      <c r="D56" s="220">
        <f>96+4</f>
        <v>100</v>
      </c>
      <c r="E56" s="215">
        <v>1</v>
      </c>
      <c r="F56" s="215">
        <v>1</v>
      </c>
      <c r="G56" s="300">
        <f t="shared" si="0"/>
        <v>100</v>
      </c>
      <c r="H56" s="291">
        <f t="shared" si="1"/>
        <v>2014.1651033089695</v>
      </c>
      <c r="I56" s="291"/>
      <c r="J56" s="51"/>
    </row>
    <row r="57" spans="1:10" ht="12.75">
      <c r="A57" s="227"/>
      <c r="B57" s="51" t="s">
        <v>484</v>
      </c>
      <c r="C57" s="212" t="s">
        <v>61</v>
      </c>
      <c r="D57" s="220">
        <f>96+144</f>
        <v>240</v>
      </c>
      <c r="E57" s="215">
        <v>1</v>
      </c>
      <c r="F57" s="215">
        <v>1</v>
      </c>
      <c r="G57" s="300">
        <f t="shared" si="0"/>
        <v>240</v>
      </c>
      <c r="H57" s="291">
        <f t="shared" si="1"/>
        <v>4833.996247941526</v>
      </c>
      <c r="I57" s="291"/>
      <c r="J57" s="51"/>
    </row>
    <row r="58" spans="1:10" ht="25.5">
      <c r="A58" s="227">
        <v>13</v>
      </c>
      <c r="B58" s="226" t="s">
        <v>50</v>
      </c>
      <c r="C58" s="212"/>
      <c r="D58" s="212"/>
      <c r="E58" s="215"/>
      <c r="F58" s="215"/>
      <c r="G58" s="300">
        <f t="shared" si="0"/>
        <v>0</v>
      </c>
      <c r="H58" s="291">
        <f t="shared" si="1"/>
        <v>0</v>
      </c>
      <c r="I58" s="291"/>
      <c r="J58" s="51"/>
    </row>
    <row r="59" spans="1:10" ht="12.75">
      <c r="A59" s="51"/>
      <c r="B59" s="51" t="s">
        <v>30</v>
      </c>
      <c r="C59" s="212" t="s">
        <v>53</v>
      </c>
      <c r="D59" s="222">
        <f>12000/100</f>
        <v>120</v>
      </c>
      <c r="E59" s="216">
        <v>24</v>
      </c>
      <c r="F59" s="216">
        <v>0.23</v>
      </c>
      <c r="G59" s="300">
        <f t="shared" si="0"/>
        <v>662.4</v>
      </c>
      <c r="H59" s="291">
        <f t="shared" si="1"/>
        <v>13341.829644318614</v>
      </c>
      <c r="I59" s="291"/>
      <c r="J59" s="51"/>
    </row>
    <row r="60" spans="1:10" ht="12.75">
      <c r="A60" s="227"/>
      <c r="B60" s="51" t="s">
        <v>31</v>
      </c>
      <c r="C60" s="212" t="s">
        <v>53</v>
      </c>
      <c r="D60" s="222">
        <f>6500/100</f>
        <v>65</v>
      </c>
      <c r="E60" s="216">
        <v>24</v>
      </c>
      <c r="F60" s="216">
        <v>0.23</v>
      </c>
      <c r="G60" s="300">
        <f t="shared" si="0"/>
        <v>358.8</v>
      </c>
      <c r="H60" s="291">
        <f t="shared" si="1"/>
        <v>7226.824390672582</v>
      </c>
      <c r="I60" s="291"/>
      <c r="J60" s="51"/>
    </row>
    <row r="61" spans="1:10" ht="12.75">
      <c r="A61" s="227"/>
      <c r="B61" s="51" t="s">
        <v>32</v>
      </c>
      <c r="C61" s="212" t="s">
        <v>53</v>
      </c>
      <c r="D61" s="212">
        <f>5166/100</f>
        <v>51.66</v>
      </c>
      <c r="E61" s="216">
        <v>24</v>
      </c>
      <c r="F61" s="216">
        <v>0.23</v>
      </c>
      <c r="G61" s="300">
        <f t="shared" si="0"/>
        <v>285.1632</v>
      </c>
      <c r="H61" s="291">
        <f t="shared" si="1"/>
        <v>5743.657661879163</v>
      </c>
      <c r="I61" s="291"/>
      <c r="J61" s="51"/>
    </row>
    <row r="62" spans="1:10" ht="12.75">
      <c r="A62" s="227"/>
      <c r="B62" s="51" t="s">
        <v>33</v>
      </c>
      <c r="C62" s="212" t="s">
        <v>53</v>
      </c>
      <c r="D62" s="212">
        <f>1050/100</f>
        <v>10.5</v>
      </c>
      <c r="E62" s="216">
        <v>24</v>
      </c>
      <c r="F62" s="216">
        <v>0.23</v>
      </c>
      <c r="G62" s="300">
        <f t="shared" si="0"/>
        <v>57.96</v>
      </c>
      <c r="H62" s="291">
        <f t="shared" si="1"/>
        <v>1167.4100938778786</v>
      </c>
      <c r="I62" s="291"/>
      <c r="J62" s="51"/>
    </row>
    <row r="63" spans="1:10" ht="12.75">
      <c r="A63" s="227"/>
      <c r="B63" s="51" t="s">
        <v>34</v>
      </c>
      <c r="C63" s="212" t="s">
        <v>53</v>
      </c>
      <c r="D63" s="212">
        <v>70.26</v>
      </c>
      <c r="E63" s="216">
        <v>24</v>
      </c>
      <c r="F63" s="216">
        <v>0.23</v>
      </c>
      <c r="G63" s="300">
        <f t="shared" si="0"/>
        <v>387.83520000000004</v>
      </c>
      <c r="H63" s="291">
        <f t="shared" si="1"/>
        <v>7811.641256748549</v>
      </c>
      <c r="I63" s="291"/>
      <c r="J63" s="51"/>
    </row>
    <row r="64" spans="1:10" ht="12.75">
      <c r="A64" s="227"/>
      <c r="B64" s="51" t="s">
        <v>35</v>
      </c>
      <c r="C64" s="212" t="s">
        <v>53</v>
      </c>
      <c r="D64" s="212">
        <v>40.26</v>
      </c>
      <c r="E64" s="216">
        <v>24</v>
      </c>
      <c r="F64" s="216">
        <v>0.23</v>
      </c>
      <c r="G64" s="300">
        <f t="shared" si="0"/>
        <v>222.23520000000002</v>
      </c>
      <c r="H64" s="291">
        <f t="shared" si="1"/>
        <v>4476.183845668896</v>
      </c>
      <c r="I64" s="291"/>
      <c r="J64" s="51"/>
    </row>
    <row r="65" spans="1:10" ht="12.75">
      <c r="A65" s="227"/>
      <c r="B65" s="51" t="s">
        <v>36</v>
      </c>
      <c r="C65" s="212" t="s">
        <v>53</v>
      </c>
      <c r="D65" s="222">
        <v>66</v>
      </c>
      <c r="E65" s="216">
        <v>24</v>
      </c>
      <c r="F65" s="216">
        <v>0.23</v>
      </c>
      <c r="G65" s="300">
        <f t="shared" si="0"/>
        <v>364.32</v>
      </c>
      <c r="H65" s="291">
        <f t="shared" si="1"/>
        <v>7338.006304375237</v>
      </c>
      <c r="I65" s="291"/>
      <c r="J65" s="51"/>
    </row>
    <row r="66" spans="1:10" ht="12.75">
      <c r="A66" s="227"/>
      <c r="B66" s="51" t="s">
        <v>37</v>
      </c>
      <c r="C66" s="212" t="s">
        <v>53</v>
      </c>
      <c r="D66" s="222">
        <v>19.8</v>
      </c>
      <c r="E66" s="216">
        <v>24</v>
      </c>
      <c r="F66" s="216">
        <v>0.23</v>
      </c>
      <c r="G66" s="300">
        <f t="shared" si="0"/>
        <v>109.29600000000002</v>
      </c>
      <c r="H66" s="291">
        <f t="shared" si="1"/>
        <v>2201.4018913125715</v>
      </c>
      <c r="I66" s="291"/>
      <c r="J66" s="51"/>
    </row>
    <row r="67" spans="1:10" ht="12.75">
      <c r="A67" s="227"/>
      <c r="B67" s="51" t="s">
        <v>38</v>
      </c>
      <c r="C67" s="212" t="s">
        <v>53</v>
      </c>
      <c r="D67" s="212">
        <v>28.8</v>
      </c>
      <c r="E67" s="216">
        <v>24</v>
      </c>
      <c r="F67" s="216">
        <v>0.23</v>
      </c>
      <c r="G67" s="300">
        <f t="shared" si="0"/>
        <v>158.97600000000003</v>
      </c>
      <c r="H67" s="291">
        <f t="shared" si="1"/>
        <v>3202.0391146364677</v>
      </c>
      <c r="I67" s="291"/>
      <c r="J67" s="51"/>
    </row>
    <row r="68" spans="1:10" ht="12.75">
      <c r="A68" s="227"/>
      <c r="B68" s="51" t="s">
        <v>39</v>
      </c>
      <c r="C68" s="212" t="s">
        <v>53</v>
      </c>
      <c r="D68" s="222">
        <v>20</v>
      </c>
      <c r="E68" s="216">
        <v>24</v>
      </c>
      <c r="F68" s="216">
        <v>0.23</v>
      </c>
      <c r="G68" s="300">
        <f t="shared" si="0"/>
        <v>110.4</v>
      </c>
      <c r="H68" s="291">
        <f t="shared" si="1"/>
        <v>2223.638274053102</v>
      </c>
      <c r="I68" s="291"/>
      <c r="J68" s="51"/>
    </row>
    <row r="69" spans="1:10" ht="12.75">
      <c r="A69" s="227"/>
      <c r="B69" s="51" t="s">
        <v>54</v>
      </c>
      <c r="C69" s="212" t="s">
        <v>53</v>
      </c>
      <c r="D69" s="212">
        <v>36.68</v>
      </c>
      <c r="E69" s="216">
        <v>24</v>
      </c>
      <c r="F69" s="216">
        <v>0.23</v>
      </c>
      <c r="G69" s="300">
        <f t="shared" si="0"/>
        <v>202.4736</v>
      </c>
      <c r="H69" s="291">
        <f t="shared" si="1"/>
        <v>4078.1525946133897</v>
      </c>
      <c r="I69" s="291"/>
      <c r="J69" s="51"/>
    </row>
    <row r="70" spans="1:10" ht="12.75">
      <c r="A70" s="227"/>
      <c r="B70" s="51" t="s">
        <v>55</v>
      </c>
      <c r="C70" s="212" t="s">
        <v>53</v>
      </c>
      <c r="D70" s="212">
        <v>11.57</v>
      </c>
      <c r="E70" s="216">
        <v>24</v>
      </c>
      <c r="F70" s="216">
        <v>0.23</v>
      </c>
      <c r="G70" s="300">
        <f t="shared" si="0"/>
        <v>63.866400000000006</v>
      </c>
      <c r="H70" s="291">
        <f t="shared" si="1"/>
        <v>1286.3747415397197</v>
      </c>
      <c r="I70" s="291"/>
      <c r="J70" s="51"/>
    </row>
    <row r="71" spans="1:10" ht="12.75">
      <c r="A71" s="227"/>
      <c r="B71" s="51" t="s">
        <v>56</v>
      </c>
      <c r="C71" s="212" t="s">
        <v>53</v>
      </c>
      <c r="D71" s="212">
        <v>11.42</v>
      </c>
      <c r="E71" s="216">
        <v>24</v>
      </c>
      <c r="F71" s="216">
        <v>0.23</v>
      </c>
      <c r="G71" s="300">
        <f t="shared" si="0"/>
        <v>63.038399999999996</v>
      </c>
      <c r="H71" s="291">
        <f t="shared" si="1"/>
        <v>1269.6974544843213</v>
      </c>
      <c r="I71" s="291"/>
      <c r="J71" s="51"/>
    </row>
    <row r="72" spans="1:10" ht="12.75">
      <c r="A72" s="227"/>
      <c r="B72" s="51" t="s">
        <v>41</v>
      </c>
      <c r="C72" s="212" t="s">
        <v>53</v>
      </c>
      <c r="D72" s="212">
        <v>17.5</v>
      </c>
      <c r="E72" s="216">
        <v>24</v>
      </c>
      <c r="F72" s="216">
        <v>0.23</v>
      </c>
      <c r="G72" s="300">
        <f t="shared" si="0"/>
        <v>96.60000000000001</v>
      </c>
      <c r="H72" s="291">
        <f t="shared" si="1"/>
        <v>1945.6834897964645</v>
      </c>
      <c r="I72" s="291"/>
      <c r="J72" s="51"/>
    </row>
    <row r="73" spans="1:10" ht="12.75">
      <c r="A73" s="227"/>
      <c r="B73" s="51" t="s">
        <v>42</v>
      </c>
      <c r="C73" s="212" t="s">
        <v>53</v>
      </c>
      <c r="D73" s="212">
        <f>595/100</f>
        <v>5.95</v>
      </c>
      <c r="E73" s="216">
        <v>24</v>
      </c>
      <c r="F73" s="216">
        <v>0.23</v>
      </c>
      <c r="G73" s="300">
        <f t="shared" si="0"/>
        <v>32.844</v>
      </c>
      <c r="H73" s="291">
        <f t="shared" si="1"/>
        <v>661.5323865307979</v>
      </c>
      <c r="I73" s="291"/>
      <c r="J73" s="51"/>
    </row>
    <row r="74" spans="1:10" ht="25.5">
      <c r="A74" s="227">
        <v>14</v>
      </c>
      <c r="B74" s="226" t="s">
        <v>519</v>
      </c>
      <c r="C74" s="212"/>
      <c r="D74" s="212"/>
      <c r="E74" s="216"/>
      <c r="F74" s="216"/>
      <c r="G74" s="300">
        <f t="shared" si="0"/>
        <v>0</v>
      </c>
      <c r="H74" s="291">
        <f t="shared" si="1"/>
        <v>0</v>
      </c>
      <c r="I74" s="291"/>
      <c r="J74" s="51"/>
    </row>
    <row r="75" spans="1:10" ht="12.75">
      <c r="A75" s="227"/>
      <c r="B75" s="51" t="s">
        <v>347</v>
      </c>
      <c r="C75" s="212" t="s">
        <v>53</v>
      </c>
      <c r="D75" s="212">
        <v>194.25</v>
      </c>
      <c r="E75" s="243">
        <v>24</v>
      </c>
      <c r="F75" s="243">
        <v>0.23</v>
      </c>
      <c r="G75" s="300">
        <f t="shared" si="0"/>
        <v>1072.26</v>
      </c>
      <c r="H75" s="291">
        <f t="shared" si="1"/>
        <v>21597.086736740755</v>
      </c>
      <c r="I75" s="291"/>
      <c r="J75" s="51"/>
    </row>
    <row r="76" spans="1:10" ht="12.75">
      <c r="A76" s="227"/>
      <c r="B76" s="51" t="s">
        <v>348</v>
      </c>
      <c r="C76" s="212" t="s">
        <v>53</v>
      </c>
      <c r="D76" s="212">
        <v>272.02</v>
      </c>
      <c r="E76" s="243">
        <v>24</v>
      </c>
      <c r="F76" s="243">
        <v>0.23</v>
      </c>
      <c r="G76" s="300">
        <f t="shared" si="0"/>
        <v>1501.5503999999999</v>
      </c>
      <c r="H76" s="291">
        <f t="shared" si="1"/>
        <v>30243.70416539624</v>
      </c>
      <c r="I76" s="291"/>
      <c r="J76" s="51"/>
    </row>
    <row r="77" spans="1:10" ht="12.75">
      <c r="A77" s="227"/>
      <c r="B77" s="51" t="s">
        <v>349</v>
      </c>
      <c r="C77" s="212" t="s">
        <v>53</v>
      </c>
      <c r="D77" s="212">
        <v>112.38</v>
      </c>
      <c r="E77" s="243">
        <v>24</v>
      </c>
      <c r="F77" s="243">
        <v>0.23</v>
      </c>
      <c r="G77" s="300">
        <f t="shared" si="0"/>
        <v>620.3376</v>
      </c>
      <c r="H77" s="291">
        <f t="shared" si="1"/>
        <v>12494.62346190438</v>
      </c>
      <c r="I77" s="291"/>
      <c r="J77" s="51"/>
    </row>
    <row r="78" spans="1:10" ht="12.75">
      <c r="A78" s="227"/>
      <c r="B78" s="51" t="s">
        <v>350</v>
      </c>
      <c r="C78" s="212" t="s">
        <v>53</v>
      </c>
      <c r="D78" s="212">
        <v>182.48</v>
      </c>
      <c r="E78" s="243">
        <v>24</v>
      </c>
      <c r="F78" s="243">
        <v>0.23</v>
      </c>
      <c r="G78" s="300">
        <f t="shared" si="0"/>
        <v>1007.2896</v>
      </c>
      <c r="H78" s="291">
        <f t="shared" si="1"/>
        <v>20288.475612460505</v>
      </c>
      <c r="I78" s="291"/>
      <c r="J78" s="51"/>
    </row>
    <row r="79" spans="1:10" ht="25.5">
      <c r="A79" s="227">
        <v>15</v>
      </c>
      <c r="B79" s="249" t="s">
        <v>351</v>
      </c>
      <c r="C79" s="224" t="s">
        <v>53</v>
      </c>
      <c r="D79" s="224">
        <v>61.18</v>
      </c>
      <c r="E79" s="215">
        <v>20</v>
      </c>
      <c r="F79" s="215">
        <v>1.43</v>
      </c>
      <c r="G79" s="300">
        <f t="shared" si="0"/>
        <v>1749.7479999999998</v>
      </c>
      <c r="H79" s="291">
        <f t="shared" si="1"/>
        <v>35242.81361184662</v>
      </c>
      <c r="I79" s="291"/>
      <c r="J79" s="51"/>
    </row>
    <row r="80" spans="1:10" ht="12.75">
      <c r="A80" s="227">
        <v>16</v>
      </c>
      <c r="B80" s="51" t="s">
        <v>59</v>
      </c>
      <c r="C80" s="212" t="s">
        <v>225</v>
      </c>
      <c r="D80" s="212">
        <v>100</v>
      </c>
      <c r="E80" s="215">
        <v>1</v>
      </c>
      <c r="F80" s="215">
        <v>1.35</v>
      </c>
      <c r="G80" s="300">
        <f t="shared" si="0"/>
        <v>135</v>
      </c>
      <c r="H80" s="291">
        <f t="shared" si="1"/>
        <v>2719.1228894671085</v>
      </c>
      <c r="I80" s="291"/>
      <c r="J80" s="51"/>
    </row>
    <row r="81" spans="1:10" ht="25.5">
      <c r="A81" s="227">
        <v>17</v>
      </c>
      <c r="B81" s="268" t="s">
        <v>550</v>
      </c>
      <c r="C81" s="224" t="s">
        <v>53</v>
      </c>
      <c r="D81" s="224">
        <v>8.5</v>
      </c>
      <c r="E81" s="247">
        <v>20</v>
      </c>
      <c r="F81" s="247">
        <v>1.43</v>
      </c>
      <c r="G81" s="300">
        <f t="shared" si="0"/>
        <v>243.1</v>
      </c>
      <c r="H81" s="291">
        <f t="shared" si="1"/>
        <v>4896.435366144105</v>
      </c>
      <c r="I81" s="291"/>
      <c r="J81" s="51"/>
    </row>
    <row r="82" spans="1:10" ht="12.75">
      <c r="A82" s="227">
        <v>18</v>
      </c>
      <c r="B82" s="268" t="s">
        <v>518</v>
      </c>
      <c r="C82" s="212"/>
      <c r="D82" s="212"/>
      <c r="E82" s="215"/>
      <c r="F82" s="215"/>
      <c r="G82" s="300">
        <f t="shared" si="0"/>
        <v>0</v>
      </c>
      <c r="H82" s="291">
        <f t="shared" si="1"/>
        <v>0</v>
      </c>
      <c r="I82" s="291"/>
      <c r="J82" s="51"/>
    </row>
    <row r="83" spans="1:10" ht="12.75">
      <c r="A83" s="227"/>
      <c r="B83" s="51" t="s">
        <v>41</v>
      </c>
      <c r="C83" s="212" t="s">
        <v>53</v>
      </c>
      <c r="D83" s="212">
        <v>17.5</v>
      </c>
      <c r="E83" s="215">
        <v>10</v>
      </c>
      <c r="F83" s="215">
        <v>1.43</v>
      </c>
      <c r="G83" s="300">
        <f t="shared" si="0"/>
        <v>250.25</v>
      </c>
      <c r="H83" s="291">
        <f t="shared" si="1"/>
        <v>5040.448171030696</v>
      </c>
      <c r="I83" s="291"/>
      <c r="J83" s="51"/>
    </row>
    <row r="84" spans="1:10" ht="12.75">
      <c r="A84" s="227"/>
      <c r="B84" s="51" t="s">
        <v>42</v>
      </c>
      <c r="C84" s="212" t="s">
        <v>53</v>
      </c>
      <c r="D84" s="212">
        <v>5.95</v>
      </c>
      <c r="E84" s="215">
        <v>10</v>
      </c>
      <c r="F84" s="215">
        <v>1.43</v>
      </c>
      <c r="G84" s="300">
        <f t="shared" si="0"/>
        <v>85.085</v>
      </c>
      <c r="H84" s="291">
        <f t="shared" si="1"/>
        <v>1713.7523781504365</v>
      </c>
      <c r="I84" s="291"/>
      <c r="J84" s="51"/>
    </row>
    <row r="85" spans="1:10" ht="12.75">
      <c r="A85" s="227">
        <v>19</v>
      </c>
      <c r="B85" s="301" t="s">
        <v>412</v>
      </c>
      <c r="C85" s="212" t="s">
        <v>61</v>
      </c>
      <c r="D85" s="212">
        <f>24*6</f>
        <v>144</v>
      </c>
      <c r="E85" s="212">
        <v>1</v>
      </c>
      <c r="F85" s="212">
        <v>36</v>
      </c>
      <c r="G85" s="300">
        <f t="shared" si="0"/>
        <v>5184</v>
      </c>
      <c r="H85" s="291">
        <f t="shared" si="1"/>
        <v>104414.31895553698</v>
      </c>
      <c r="I85" s="291"/>
      <c r="J85" s="51"/>
    </row>
    <row r="86" spans="1:10" ht="12.75">
      <c r="A86" s="227"/>
      <c r="B86" s="47" t="s">
        <v>413</v>
      </c>
      <c r="C86" s="51"/>
      <c r="D86" s="212"/>
      <c r="E86" s="212"/>
      <c r="F86" s="212"/>
      <c r="G86" s="288">
        <f>SUM(G23:G85)</f>
        <v>35331.054919999995</v>
      </c>
      <c r="H86" s="299">
        <f>SUM(H23:H85)</f>
        <v>711625.7788295667</v>
      </c>
      <c r="I86" s="299"/>
      <c r="J86" s="51"/>
    </row>
    <row r="87" spans="1:10" ht="12.75">
      <c r="A87" s="227"/>
      <c r="B87" s="396" t="s">
        <v>15</v>
      </c>
      <c r="C87" s="397"/>
      <c r="D87" s="397"/>
      <c r="E87" s="397"/>
      <c r="F87" s="397"/>
      <c r="G87" s="397"/>
      <c r="H87" s="397"/>
      <c r="I87" s="397"/>
      <c r="J87" s="398"/>
    </row>
    <row r="88" spans="1:10" ht="12.75">
      <c r="A88" s="227">
        <v>20</v>
      </c>
      <c r="B88" s="47" t="s">
        <v>539</v>
      </c>
      <c r="C88" s="215"/>
      <c r="D88" s="205"/>
      <c r="E88" s="215"/>
      <c r="F88" s="215"/>
      <c r="G88" s="260"/>
      <c r="H88" s="291"/>
      <c r="I88" s="291"/>
      <c r="J88" s="51"/>
    </row>
    <row r="89" spans="1:10" ht="12.75">
      <c r="A89" s="227"/>
      <c r="B89" s="244" t="s">
        <v>537</v>
      </c>
      <c r="C89" s="215" t="s">
        <v>53</v>
      </c>
      <c r="D89" s="215">
        <v>5.03</v>
      </c>
      <c r="E89" s="215">
        <v>16</v>
      </c>
      <c r="F89" s="215">
        <v>1.43</v>
      </c>
      <c r="G89" s="300">
        <f>D89*E89*F89</f>
        <v>115.0864</v>
      </c>
      <c r="H89" s="291">
        <f aca="true" t="shared" si="2" ref="H89:H94">790730/39258.45*G89</f>
        <v>2318.0301074545737</v>
      </c>
      <c r="I89" s="291"/>
      <c r="J89" s="51"/>
    </row>
    <row r="90" spans="1:10" ht="12.75">
      <c r="A90" s="227"/>
      <c r="B90" s="244" t="s">
        <v>538</v>
      </c>
      <c r="C90" s="215" t="s">
        <v>53</v>
      </c>
      <c r="D90" s="215">
        <v>1.56</v>
      </c>
      <c r="E90" s="215">
        <v>16</v>
      </c>
      <c r="F90" s="215">
        <v>1.43</v>
      </c>
      <c r="G90" s="300">
        <f>D90*E90*F90</f>
        <v>35.6928</v>
      </c>
      <c r="H90" s="291">
        <f t="shared" si="2"/>
        <v>718.9119219938638</v>
      </c>
      <c r="I90" s="291"/>
      <c r="J90" s="51"/>
    </row>
    <row r="91" spans="1:10" ht="12.75">
      <c r="A91" s="227">
        <v>21</v>
      </c>
      <c r="B91" s="283" t="s">
        <v>536</v>
      </c>
      <c r="C91" s="215"/>
      <c r="D91" s="205"/>
      <c r="E91" s="215"/>
      <c r="F91" s="215"/>
      <c r="G91" s="261"/>
      <c r="H91" s="291">
        <f t="shared" si="2"/>
        <v>0</v>
      </c>
      <c r="I91" s="291"/>
      <c r="J91" s="51"/>
    </row>
    <row r="92" spans="1:10" ht="12.75">
      <c r="A92" s="227"/>
      <c r="B92" s="47" t="s">
        <v>535</v>
      </c>
      <c r="C92" s="215"/>
      <c r="D92" s="205"/>
      <c r="E92" s="215"/>
      <c r="F92" s="215"/>
      <c r="G92" s="261"/>
      <c r="H92" s="291">
        <f t="shared" si="2"/>
        <v>0</v>
      </c>
      <c r="I92" s="291"/>
      <c r="J92" s="51"/>
    </row>
    <row r="93" spans="1:10" ht="12.75">
      <c r="A93" s="227"/>
      <c r="B93" s="244" t="s">
        <v>537</v>
      </c>
      <c r="C93" s="215" t="s">
        <v>65</v>
      </c>
      <c r="D93" s="221">
        <v>30</v>
      </c>
      <c r="E93" s="215">
        <v>20</v>
      </c>
      <c r="F93" s="215">
        <v>0.47</v>
      </c>
      <c r="G93" s="261">
        <f>D93*E93*F93</f>
        <v>282</v>
      </c>
      <c r="H93" s="291">
        <f t="shared" si="2"/>
        <v>5679.945591331294</v>
      </c>
      <c r="I93" s="291"/>
      <c r="J93" s="51"/>
    </row>
    <row r="94" spans="1:10" ht="12.75">
      <c r="A94" s="227"/>
      <c r="B94" s="244" t="s">
        <v>538</v>
      </c>
      <c r="C94" s="215" t="s">
        <v>65</v>
      </c>
      <c r="D94" s="221">
        <v>14.64</v>
      </c>
      <c r="E94" s="215">
        <v>20</v>
      </c>
      <c r="F94" s="215">
        <v>0.47</v>
      </c>
      <c r="G94" s="261">
        <f>D94*E94*F94</f>
        <v>137.61599999999999</v>
      </c>
      <c r="H94" s="291">
        <f t="shared" si="2"/>
        <v>2771.813448569671</v>
      </c>
      <c r="I94" s="291"/>
      <c r="J94" s="51"/>
    </row>
    <row r="95" spans="1:10" ht="12.75">
      <c r="A95" s="227"/>
      <c r="B95" s="283" t="s">
        <v>413</v>
      </c>
      <c r="C95" s="205"/>
      <c r="D95" s="234"/>
      <c r="E95" s="205"/>
      <c r="F95" s="205"/>
      <c r="G95" s="288">
        <f>SUM(G89:G94)</f>
        <v>570.3951999999999</v>
      </c>
      <c r="H95" s="299">
        <f>SUM(H89:H94)</f>
        <v>11488.701069349401</v>
      </c>
      <c r="I95" s="299"/>
      <c r="J95" s="47"/>
    </row>
    <row r="96" spans="1:249" s="292" customFormat="1" ht="12.75">
      <c r="A96" s="298">
        <v>22</v>
      </c>
      <c r="B96" s="297" t="s">
        <v>506</v>
      </c>
      <c r="C96" s="274"/>
      <c r="D96" s="256"/>
      <c r="E96" s="296"/>
      <c r="F96" s="296"/>
      <c r="G96" s="289" t="s">
        <v>476</v>
      </c>
      <c r="H96" s="295"/>
      <c r="I96" s="295"/>
      <c r="J96" s="256"/>
      <c r="K96" s="294"/>
      <c r="N96" s="293"/>
      <c r="O96" s="293"/>
      <c r="P96" s="293"/>
      <c r="Q96" s="293"/>
      <c r="R96" s="192"/>
      <c r="S96" s="294"/>
      <c r="V96" s="293"/>
      <c r="W96" s="293"/>
      <c r="X96" s="293"/>
      <c r="Y96" s="293"/>
      <c r="Z96" s="192"/>
      <c r="AA96" s="294"/>
      <c r="AD96" s="293"/>
      <c r="AE96" s="293"/>
      <c r="AF96" s="293"/>
      <c r="AG96" s="293"/>
      <c r="AH96" s="192"/>
      <c r="AI96" s="294"/>
      <c r="AL96" s="293"/>
      <c r="AM96" s="293"/>
      <c r="AN96" s="293"/>
      <c r="AO96" s="293"/>
      <c r="AP96" s="192"/>
      <c r="AQ96" s="294"/>
      <c r="AT96" s="293"/>
      <c r="AU96" s="293"/>
      <c r="AV96" s="293"/>
      <c r="AW96" s="293"/>
      <c r="AX96" s="192"/>
      <c r="AY96" s="294"/>
      <c r="BB96" s="293"/>
      <c r="BC96" s="293"/>
      <c r="BD96" s="293"/>
      <c r="BE96" s="293"/>
      <c r="BF96" s="192"/>
      <c r="BG96" s="294"/>
      <c r="BJ96" s="293"/>
      <c r="BK96" s="293"/>
      <c r="BL96" s="293"/>
      <c r="BM96" s="293"/>
      <c r="BN96" s="192"/>
      <c r="BO96" s="294"/>
      <c r="BR96" s="293"/>
      <c r="BS96" s="293"/>
      <c r="BT96" s="293"/>
      <c r="BU96" s="293"/>
      <c r="BV96" s="192"/>
      <c r="BW96" s="294"/>
      <c r="BZ96" s="293"/>
      <c r="CA96" s="293"/>
      <c r="CB96" s="293"/>
      <c r="CC96" s="293"/>
      <c r="CD96" s="192"/>
      <c r="CE96" s="294"/>
      <c r="CH96" s="293"/>
      <c r="CI96" s="293"/>
      <c r="CJ96" s="293"/>
      <c r="CK96" s="293"/>
      <c r="CL96" s="192"/>
      <c r="CM96" s="294"/>
      <c r="CP96" s="293"/>
      <c r="CQ96" s="293"/>
      <c r="CR96" s="293"/>
      <c r="CS96" s="293"/>
      <c r="CT96" s="192"/>
      <c r="CU96" s="294"/>
      <c r="CX96" s="293"/>
      <c r="CY96" s="293"/>
      <c r="CZ96" s="293"/>
      <c r="DA96" s="293"/>
      <c r="DB96" s="192"/>
      <c r="DC96" s="294"/>
      <c r="DF96" s="293"/>
      <c r="DG96" s="293"/>
      <c r="DH96" s="293"/>
      <c r="DI96" s="293"/>
      <c r="DJ96" s="192"/>
      <c r="DK96" s="294"/>
      <c r="DN96" s="293"/>
      <c r="DO96" s="293"/>
      <c r="DP96" s="293"/>
      <c r="DQ96" s="293"/>
      <c r="DR96" s="192"/>
      <c r="DS96" s="294"/>
      <c r="DV96" s="293"/>
      <c r="DW96" s="293"/>
      <c r="DX96" s="293"/>
      <c r="DY96" s="293"/>
      <c r="DZ96" s="192"/>
      <c r="EA96" s="294"/>
      <c r="ED96" s="293"/>
      <c r="EE96" s="293"/>
      <c r="EF96" s="293"/>
      <c r="EG96" s="293"/>
      <c r="EH96" s="192"/>
      <c r="EI96" s="294"/>
      <c r="EL96" s="293"/>
      <c r="EM96" s="293"/>
      <c r="EN96" s="293"/>
      <c r="EO96" s="293"/>
      <c r="EP96" s="192"/>
      <c r="EQ96" s="294"/>
      <c r="ET96" s="293"/>
      <c r="EU96" s="293"/>
      <c r="EV96" s="293"/>
      <c r="EW96" s="293"/>
      <c r="EX96" s="192"/>
      <c r="EY96" s="294"/>
      <c r="FB96" s="293"/>
      <c r="FC96" s="293"/>
      <c r="FD96" s="293"/>
      <c r="FE96" s="293"/>
      <c r="FF96" s="192"/>
      <c r="FG96" s="294"/>
      <c r="FJ96" s="293"/>
      <c r="FK96" s="293"/>
      <c r="FL96" s="293"/>
      <c r="FM96" s="293"/>
      <c r="FN96" s="192"/>
      <c r="FO96" s="294"/>
      <c r="FR96" s="293"/>
      <c r="FS96" s="293"/>
      <c r="FT96" s="293"/>
      <c r="FU96" s="293"/>
      <c r="FV96" s="192"/>
      <c r="FW96" s="294"/>
      <c r="FZ96" s="293"/>
      <c r="GA96" s="293"/>
      <c r="GB96" s="293"/>
      <c r="GC96" s="293"/>
      <c r="GD96" s="192"/>
      <c r="GE96" s="294"/>
      <c r="GH96" s="293"/>
      <c r="GI96" s="293"/>
      <c r="GJ96" s="293"/>
      <c r="GK96" s="293"/>
      <c r="GL96" s="192"/>
      <c r="GM96" s="294"/>
      <c r="GP96" s="293"/>
      <c r="GQ96" s="293"/>
      <c r="GR96" s="293"/>
      <c r="GS96" s="293"/>
      <c r="GT96" s="192"/>
      <c r="GU96" s="294"/>
      <c r="GX96" s="293"/>
      <c r="GY96" s="293"/>
      <c r="GZ96" s="293"/>
      <c r="HA96" s="293"/>
      <c r="HB96" s="192"/>
      <c r="HC96" s="294"/>
      <c r="HF96" s="293"/>
      <c r="HG96" s="293"/>
      <c r="HH96" s="293"/>
      <c r="HI96" s="293"/>
      <c r="HJ96" s="192"/>
      <c r="HK96" s="294"/>
      <c r="HN96" s="293"/>
      <c r="HO96" s="293"/>
      <c r="HP96" s="293"/>
      <c r="HQ96" s="293"/>
      <c r="HR96" s="192"/>
      <c r="HS96" s="294"/>
      <c r="HV96" s="293"/>
      <c r="HW96" s="293"/>
      <c r="HX96" s="293"/>
      <c r="HY96" s="293"/>
      <c r="HZ96" s="192"/>
      <c r="IA96" s="294"/>
      <c r="ID96" s="293"/>
      <c r="IE96" s="293"/>
      <c r="IF96" s="293"/>
      <c r="IG96" s="293"/>
      <c r="IH96" s="192"/>
      <c r="II96" s="294"/>
      <c r="IL96" s="293"/>
      <c r="IM96" s="293"/>
      <c r="IN96" s="293"/>
      <c r="IO96" s="293"/>
    </row>
    <row r="97" spans="1:249" s="188" customFormat="1" ht="12.75">
      <c r="A97" s="227"/>
      <c r="B97" s="266" t="s">
        <v>465</v>
      </c>
      <c r="C97" s="290" t="s">
        <v>476</v>
      </c>
      <c r="D97" s="210">
        <f>211+50</f>
        <v>261</v>
      </c>
      <c r="E97" s="247">
        <v>1</v>
      </c>
      <c r="F97" s="247">
        <v>1</v>
      </c>
      <c r="G97" s="210">
        <f>211+50</f>
        <v>261</v>
      </c>
      <c r="H97" s="291">
        <f aca="true" t="shared" si="3" ref="H97:H109">790730/39258.45*G97</f>
        <v>5256.97091963641</v>
      </c>
      <c r="I97" s="291"/>
      <c r="J97" s="212"/>
      <c r="K97" s="281"/>
      <c r="L97" s="279"/>
      <c r="M97" s="279"/>
      <c r="N97" s="189"/>
      <c r="O97" s="189"/>
      <c r="P97" s="189"/>
      <c r="Q97" s="189"/>
      <c r="R97" s="194"/>
      <c r="S97" s="281"/>
      <c r="T97" s="279"/>
      <c r="U97" s="279"/>
      <c r="V97" s="189"/>
      <c r="W97" s="189"/>
      <c r="X97" s="189"/>
      <c r="Y97" s="189"/>
      <c r="Z97" s="194"/>
      <c r="AA97" s="281"/>
      <c r="AB97" s="279"/>
      <c r="AC97" s="279"/>
      <c r="AD97" s="189"/>
      <c r="AE97" s="189"/>
      <c r="AF97" s="189"/>
      <c r="AG97" s="189"/>
      <c r="AH97" s="194"/>
      <c r="AI97" s="281"/>
      <c r="AJ97" s="279"/>
      <c r="AK97" s="279"/>
      <c r="AL97" s="189"/>
      <c r="AM97" s="189"/>
      <c r="AN97" s="189"/>
      <c r="AO97" s="189"/>
      <c r="AP97" s="194"/>
      <c r="AQ97" s="281"/>
      <c r="AR97" s="279"/>
      <c r="AS97" s="279"/>
      <c r="AT97" s="189"/>
      <c r="AU97" s="189"/>
      <c r="AV97" s="189"/>
      <c r="AW97" s="189"/>
      <c r="AX97" s="194"/>
      <c r="AY97" s="281"/>
      <c r="AZ97" s="279"/>
      <c r="BA97" s="279"/>
      <c r="BB97" s="189"/>
      <c r="BC97" s="189"/>
      <c r="BD97" s="189"/>
      <c r="BE97" s="189"/>
      <c r="BF97" s="194"/>
      <c r="BG97" s="281"/>
      <c r="BH97" s="279"/>
      <c r="BI97" s="279"/>
      <c r="BJ97" s="189"/>
      <c r="BK97" s="189"/>
      <c r="BL97" s="189"/>
      <c r="BM97" s="189"/>
      <c r="BN97" s="194"/>
      <c r="BO97" s="281"/>
      <c r="BP97" s="279"/>
      <c r="BQ97" s="279"/>
      <c r="BR97" s="189"/>
      <c r="BS97" s="189"/>
      <c r="BT97" s="189"/>
      <c r="BU97" s="189"/>
      <c r="BV97" s="194"/>
      <c r="BW97" s="281"/>
      <c r="BX97" s="279"/>
      <c r="BY97" s="279"/>
      <c r="BZ97" s="189"/>
      <c r="CA97" s="189"/>
      <c r="CB97" s="189"/>
      <c r="CC97" s="189"/>
      <c r="CD97" s="194"/>
      <c r="CE97" s="281"/>
      <c r="CF97" s="279"/>
      <c r="CG97" s="279"/>
      <c r="CH97" s="189"/>
      <c r="CI97" s="189"/>
      <c r="CJ97" s="189"/>
      <c r="CK97" s="189"/>
      <c r="CL97" s="194"/>
      <c r="CM97" s="281"/>
      <c r="CN97" s="279"/>
      <c r="CO97" s="279"/>
      <c r="CP97" s="189"/>
      <c r="CQ97" s="189"/>
      <c r="CR97" s="189"/>
      <c r="CS97" s="189"/>
      <c r="CT97" s="194"/>
      <c r="CU97" s="281"/>
      <c r="CV97" s="279"/>
      <c r="CW97" s="279"/>
      <c r="CX97" s="189"/>
      <c r="CY97" s="189"/>
      <c r="CZ97" s="189"/>
      <c r="DA97" s="189"/>
      <c r="DB97" s="194"/>
      <c r="DC97" s="281"/>
      <c r="DD97" s="279"/>
      <c r="DE97" s="279"/>
      <c r="DF97" s="189"/>
      <c r="DG97" s="189"/>
      <c r="DH97" s="189"/>
      <c r="DI97" s="189"/>
      <c r="DJ97" s="194"/>
      <c r="DK97" s="281"/>
      <c r="DL97" s="279"/>
      <c r="DM97" s="279"/>
      <c r="DN97" s="189"/>
      <c r="DO97" s="189"/>
      <c r="DP97" s="189"/>
      <c r="DQ97" s="189"/>
      <c r="DR97" s="194"/>
      <c r="DS97" s="281"/>
      <c r="DT97" s="279"/>
      <c r="DU97" s="279"/>
      <c r="DV97" s="189"/>
      <c r="DW97" s="189"/>
      <c r="DX97" s="189"/>
      <c r="DY97" s="189"/>
      <c r="DZ97" s="194"/>
      <c r="EA97" s="281"/>
      <c r="EB97" s="279"/>
      <c r="EC97" s="279"/>
      <c r="ED97" s="189"/>
      <c r="EE97" s="189"/>
      <c r="EF97" s="189"/>
      <c r="EG97" s="189"/>
      <c r="EH97" s="194"/>
      <c r="EI97" s="281"/>
      <c r="EJ97" s="279"/>
      <c r="EK97" s="279"/>
      <c r="EL97" s="189"/>
      <c r="EM97" s="189"/>
      <c r="EN97" s="189"/>
      <c r="EO97" s="189"/>
      <c r="EP97" s="194"/>
      <c r="EQ97" s="281"/>
      <c r="ER97" s="279"/>
      <c r="ES97" s="279"/>
      <c r="ET97" s="189"/>
      <c r="EU97" s="189"/>
      <c r="EV97" s="189"/>
      <c r="EW97" s="189"/>
      <c r="EX97" s="194"/>
      <c r="EY97" s="281"/>
      <c r="EZ97" s="279"/>
      <c r="FA97" s="279"/>
      <c r="FB97" s="189"/>
      <c r="FC97" s="189"/>
      <c r="FD97" s="189"/>
      <c r="FE97" s="189"/>
      <c r="FF97" s="194"/>
      <c r="FG97" s="281"/>
      <c r="FH97" s="279"/>
      <c r="FI97" s="279"/>
      <c r="FJ97" s="189"/>
      <c r="FK97" s="189"/>
      <c r="FL97" s="189"/>
      <c r="FM97" s="189"/>
      <c r="FN97" s="194"/>
      <c r="FO97" s="281"/>
      <c r="FP97" s="279"/>
      <c r="FQ97" s="279"/>
      <c r="FR97" s="189"/>
      <c r="FS97" s="189"/>
      <c r="FT97" s="189"/>
      <c r="FU97" s="189"/>
      <c r="FV97" s="194"/>
      <c r="FW97" s="281"/>
      <c r="FX97" s="279"/>
      <c r="FY97" s="279"/>
      <c r="FZ97" s="189"/>
      <c r="GA97" s="189"/>
      <c r="GB97" s="189"/>
      <c r="GC97" s="189"/>
      <c r="GD97" s="194"/>
      <c r="GE97" s="281"/>
      <c r="GF97" s="279"/>
      <c r="GG97" s="279"/>
      <c r="GH97" s="189"/>
      <c r="GI97" s="189"/>
      <c r="GJ97" s="189"/>
      <c r="GK97" s="189"/>
      <c r="GL97" s="194"/>
      <c r="GM97" s="281"/>
      <c r="GN97" s="279"/>
      <c r="GO97" s="279"/>
      <c r="GP97" s="189"/>
      <c r="GQ97" s="189"/>
      <c r="GR97" s="189"/>
      <c r="GS97" s="189"/>
      <c r="GT97" s="194"/>
      <c r="GU97" s="281"/>
      <c r="GV97" s="279"/>
      <c r="GW97" s="279"/>
      <c r="GX97" s="189"/>
      <c r="GY97" s="189"/>
      <c r="GZ97" s="189"/>
      <c r="HA97" s="189"/>
      <c r="HB97" s="194"/>
      <c r="HC97" s="281"/>
      <c r="HD97" s="279"/>
      <c r="HE97" s="279"/>
      <c r="HF97" s="189"/>
      <c r="HG97" s="189"/>
      <c r="HH97" s="189"/>
      <c r="HI97" s="189"/>
      <c r="HJ97" s="194"/>
      <c r="HK97" s="281"/>
      <c r="HL97" s="279"/>
      <c r="HM97" s="279"/>
      <c r="HN97" s="189"/>
      <c r="HO97" s="189"/>
      <c r="HP97" s="189"/>
      <c r="HQ97" s="189"/>
      <c r="HR97" s="194"/>
      <c r="HS97" s="281"/>
      <c r="HT97" s="279"/>
      <c r="HU97" s="279"/>
      <c r="HV97" s="189"/>
      <c r="HW97" s="189"/>
      <c r="HX97" s="189"/>
      <c r="HY97" s="189"/>
      <c r="HZ97" s="194"/>
      <c r="IA97" s="281"/>
      <c r="IB97" s="279"/>
      <c r="IC97" s="279"/>
      <c r="ID97" s="189"/>
      <c r="IE97" s="189"/>
      <c r="IF97" s="189"/>
      <c r="IG97" s="189"/>
      <c r="IH97" s="194"/>
      <c r="II97" s="281"/>
      <c r="IJ97" s="279"/>
      <c r="IK97" s="279"/>
      <c r="IL97" s="189"/>
      <c r="IM97" s="189"/>
      <c r="IN97" s="189"/>
      <c r="IO97" s="189"/>
    </row>
    <row r="98" spans="1:249" s="188" customFormat="1" ht="12.75">
      <c r="A98" s="227"/>
      <c r="B98" s="266" t="s">
        <v>466</v>
      </c>
      <c r="C98" s="290" t="s">
        <v>476</v>
      </c>
      <c r="D98" s="210">
        <f>708-240</f>
        <v>468</v>
      </c>
      <c r="E98" s="247">
        <v>1</v>
      </c>
      <c r="F98" s="247">
        <v>1</v>
      </c>
      <c r="G98" s="210">
        <f>708-240</f>
        <v>468</v>
      </c>
      <c r="H98" s="291">
        <f t="shared" si="3"/>
        <v>9426.292683485977</v>
      </c>
      <c r="I98" s="291"/>
      <c r="J98" s="212"/>
      <c r="K98" s="281"/>
      <c r="L98" s="279"/>
      <c r="M98" s="279"/>
      <c r="N98" s="189"/>
      <c r="O98" s="189"/>
      <c r="P98" s="189"/>
      <c r="Q98" s="189"/>
      <c r="R98" s="194"/>
      <c r="S98" s="281"/>
      <c r="T98" s="279"/>
      <c r="U98" s="279"/>
      <c r="V98" s="189"/>
      <c r="W98" s="189"/>
      <c r="X98" s="189"/>
      <c r="Y98" s="189"/>
      <c r="Z98" s="194"/>
      <c r="AA98" s="281"/>
      <c r="AB98" s="279"/>
      <c r="AC98" s="279"/>
      <c r="AD98" s="189"/>
      <c r="AE98" s="189"/>
      <c r="AF98" s="189"/>
      <c r="AG98" s="189"/>
      <c r="AH98" s="194"/>
      <c r="AI98" s="281"/>
      <c r="AJ98" s="279"/>
      <c r="AK98" s="279"/>
      <c r="AL98" s="189"/>
      <c r="AM98" s="189"/>
      <c r="AN98" s="189"/>
      <c r="AO98" s="189"/>
      <c r="AP98" s="194"/>
      <c r="AQ98" s="281"/>
      <c r="AR98" s="279"/>
      <c r="AS98" s="279"/>
      <c r="AT98" s="189"/>
      <c r="AU98" s="189"/>
      <c r="AV98" s="189"/>
      <c r="AW98" s="189"/>
      <c r="AX98" s="194"/>
      <c r="AY98" s="281"/>
      <c r="AZ98" s="279"/>
      <c r="BA98" s="279"/>
      <c r="BB98" s="189"/>
      <c r="BC98" s="189"/>
      <c r="BD98" s="189"/>
      <c r="BE98" s="189"/>
      <c r="BF98" s="194"/>
      <c r="BG98" s="281"/>
      <c r="BH98" s="279"/>
      <c r="BI98" s="279"/>
      <c r="BJ98" s="189"/>
      <c r="BK98" s="189"/>
      <c r="BL98" s="189"/>
      <c r="BM98" s="189"/>
      <c r="BN98" s="194"/>
      <c r="BO98" s="281"/>
      <c r="BP98" s="279"/>
      <c r="BQ98" s="279"/>
      <c r="BR98" s="189"/>
      <c r="BS98" s="189"/>
      <c r="BT98" s="189"/>
      <c r="BU98" s="189"/>
      <c r="BV98" s="194"/>
      <c r="BW98" s="281"/>
      <c r="BX98" s="279"/>
      <c r="BY98" s="279"/>
      <c r="BZ98" s="189"/>
      <c r="CA98" s="189"/>
      <c r="CB98" s="189"/>
      <c r="CC98" s="189"/>
      <c r="CD98" s="194"/>
      <c r="CE98" s="281"/>
      <c r="CF98" s="279"/>
      <c r="CG98" s="279"/>
      <c r="CH98" s="189"/>
      <c r="CI98" s="189"/>
      <c r="CJ98" s="189"/>
      <c r="CK98" s="189"/>
      <c r="CL98" s="194"/>
      <c r="CM98" s="281"/>
      <c r="CN98" s="279"/>
      <c r="CO98" s="279"/>
      <c r="CP98" s="189"/>
      <c r="CQ98" s="189"/>
      <c r="CR98" s="189"/>
      <c r="CS98" s="189"/>
      <c r="CT98" s="194"/>
      <c r="CU98" s="281"/>
      <c r="CV98" s="279"/>
      <c r="CW98" s="279"/>
      <c r="CX98" s="189"/>
      <c r="CY98" s="189"/>
      <c r="CZ98" s="189"/>
      <c r="DA98" s="189"/>
      <c r="DB98" s="194"/>
      <c r="DC98" s="281"/>
      <c r="DD98" s="279"/>
      <c r="DE98" s="279"/>
      <c r="DF98" s="189"/>
      <c r="DG98" s="189"/>
      <c r="DH98" s="189"/>
      <c r="DI98" s="189"/>
      <c r="DJ98" s="194"/>
      <c r="DK98" s="281"/>
      <c r="DL98" s="279"/>
      <c r="DM98" s="279"/>
      <c r="DN98" s="189"/>
      <c r="DO98" s="189"/>
      <c r="DP98" s="189"/>
      <c r="DQ98" s="189"/>
      <c r="DR98" s="194"/>
      <c r="DS98" s="281"/>
      <c r="DT98" s="279"/>
      <c r="DU98" s="279"/>
      <c r="DV98" s="189"/>
      <c r="DW98" s="189"/>
      <c r="DX98" s="189"/>
      <c r="DY98" s="189"/>
      <c r="DZ98" s="194"/>
      <c r="EA98" s="281"/>
      <c r="EB98" s="279"/>
      <c r="EC98" s="279"/>
      <c r="ED98" s="189"/>
      <c r="EE98" s="189"/>
      <c r="EF98" s="189"/>
      <c r="EG98" s="189"/>
      <c r="EH98" s="194"/>
      <c r="EI98" s="281"/>
      <c r="EJ98" s="279"/>
      <c r="EK98" s="279"/>
      <c r="EL98" s="189"/>
      <c r="EM98" s="189"/>
      <c r="EN98" s="189"/>
      <c r="EO98" s="189"/>
      <c r="EP98" s="194"/>
      <c r="EQ98" s="281"/>
      <c r="ER98" s="279"/>
      <c r="ES98" s="279"/>
      <c r="ET98" s="189"/>
      <c r="EU98" s="189"/>
      <c r="EV98" s="189"/>
      <c r="EW98" s="189"/>
      <c r="EX98" s="194"/>
      <c r="EY98" s="281"/>
      <c r="EZ98" s="279"/>
      <c r="FA98" s="279"/>
      <c r="FB98" s="189"/>
      <c r="FC98" s="189"/>
      <c r="FD98" s="189"/>
      <c r="FE98" s="189"/>
      <c r="FF98" s="194"/>
      <c r="FG98" s="281"/>
      <c r="FH98" s="279"/>
      <c r="FI98" s="279"/>
      <c r="FJ98" s="189"/>
      <c r="FK98" s="189"/>
      <c r="FL98" s="189"/>
      <c r="FM98" s="189"/>
      <c r="FN98" s="194"/>
      <c r="FO98" s="281"/>
      <c r="FP98" s="279"/>
      <c r="FQ98" s="279"/>
      <c r="FR98" s="189"/>
      <c r="FS98" s="189"/>
      <c r="FT98" s="189"/>
      <c r="FU98" s="189"/>
      <c r="FV98" s="194"/>
      <c r="FW98" s="281"/>
      <c r="FX98" s="279"/>
      <c r="FY98" s="279"/>
      <c r="FZ98" s="189"/>
      <c r="GA98" s="189"/>
      <c r="GB98" s="189"/>
      <c r="GC98" s="189"/>
      <c r="GD98" s="194"/>
      <c r="GE98" s="281"/>
      <c r="GF98" s="279"/>
      <c r="GG98" s="279"/>
      <c r="GH98" s="189"/>
      <c r="GI98" s="189"/>
      <c r="GJ98" s="189"/>
      <c r="GK98" s="189"/>
      <c r="GL98" s="194"/>
      <c r="GM98" s="281"/>
      <c r="GN98" s="279"/>
      <c r="GO98" s="279"/>
      <c r="GP98" s="189"/>
      <c r="GQ98" s="189"/>
      <c r="GR98" s="189"/>
      <c r="GS98" s="189"/>
      <c r="GT98" s="194"/>
      <c r="GU98" s="281"/>
      <c r="GV98" s="279"/>
      <c r="GW98" s="279"/>
      <c r="GX98" s="189"/>
      <c r="GY98" s="189"/>
      <c r="GZ98" s="189"/>
      <c r="HA98" s="189"/>
      <c r="HB98" s="194"/>
      <c r="HC98" s="281"/>
      <c r="HD98" s="279"/>
      <c r="HE98" s="279"/>
      <c r="HF98" s="189"/>
      <c r="HG98" s="189"/>
      <c r="HH98" s="189"/>
      <c r="HI98" s="189"/>
      <c r="HJ98" s="194"/>
      <c r="HK98" s="281"/>
      <c r="HL98" s="279"/>
      <c r="HM98" s="279"/>
      <c r="HN98" s="189"/>
      <c r="HO98" s="189"/>
      <c r="HP98" s="189"/>
      <c r="HQ98" s="189"/>
      <c r="HR98" s="194"/>
      <c r="HS98" s="281"/>
      <c r="HT98" s="279"/>
      <c r="HU98" s="279"/>
      <c r="HV98" s="189"/>
      <c r="HW98" s="189"/>
      <c r="HX98" s="189"/>
      <c r="HY98" s="189"/>
      <c r="HZ98" s="194"/>
      <c r="IA98" s="281"/>
      <c r="IB98" s="279"/>
      <c r="IC98" s="279"/>
      <c r="ID98" s="189"/>
      <c r="IE98" s="189"/>
      <c r="IF98" s="189"/>
      <c r="IG98" s="189"/>
      <c r="IH98" s="194"/>
      <c r="II98" s="281"/>
      <c r="IJ98" s="279"/>
      <c r="IK98" s="279"/>
      <c r="IL98" s="189"/>
      <c r="IM98" s="189"/>
      <c r="IN98" s="189"/>
      <c r="IO98" s="189"/>
    </row>
    <row r="99" spans="1:249" s="188" customFormat="1" ht="12.75">
      <c r="A99" s="227"/>
      <c r="B99" s="266" t="s">
        <v>447</v>
      </c>
      <c r="C99" s="290" t="s">
        <v>476</v>
      </c>
      <c r="D99" s="210">
        <f>944-256</f>
        <v>688</v>
      </c>
      <c r="E99" s="247">
        <v>1</v>
      </c>
      <c r="F99" s="247">
        <v>1</v>
      </c>
      <c r="G99" s="210">
        <f>944-256</f>
        <v>688</v>
      </c>
      <c r="H99" s="291">
        <f t="shared" si="3"/>
        <v>13857.45591076571</v>
      </c>
      <c r="I99" s="291"/>
      <c r="J99" s="212"/>
      <c r="K99" s="281"/>
      <c r="L99" s="279"/>
      <c r="M99" s="279"/>
      <c r="N99" s="189"/>
      <c r="O99" s="189"/>
      <c r="P99" s="189"/>
      <c r="Q99" s="189"/>
      <c r="R99" s="194"/>
      <c r="S99" s="281"/>
      <c r="T99" s="279"/>
      <c r="U99" s="279"/>
      <c r="V99" s="189"/>
      <c r="W99" s="189"/>
      <c r="X99" s="189"/>
      <c r="Y99" s="189"/>
      <c r="Z99" s="194"/>
      <c r="AA99" s="281"/>
      <c r="AB99" s="279"/>
      <c r="AC99" s="279"/>
      <c r="AD99" s="189"/>
      <c r="AE99" s="189"/>
      <c r="AF99" s="189"/>
      <c r="AG99" s="189"/>
      <c r="AH99" s="194"/>
      <c r="AI99" s="281"/>
      <c r="AJ99" s="279"/>
      <c r="AK99" s="279"/>
      <c r="AL99" s="189"/>
      <c r="AM99" s="189"/>
      <c r="AN99" s="189"/>
      <c r="AO99" s="189"/>
      <c r="AP99" s="194"/>
      <c r="AQ99" s="281"/>
      <c r="AR99" s="279"/>
      <c r="AS99" s="279"/>
      <c r="AT99" s="189"/>
      <c r="AU99" s="189"/>
      <c r="AV99" s="189"/>
      <c r="AW99" s="189"/>
      <c r="AX99" s="194"/>
      <c r="AY99" s="281"/>
      <c r="AZ99" s="279"/>
      <c r="BA99" s="279"/>
      <c r="BB99" s="189"/>
      <c r="BC99" s="189"/>
      <c r="BD99" s="189"/>
      <c r="BE99" s="189"/>
      <c r="BF99" s="194"/>
      <c r="BG99" s="281"/>
      <c r="BH99" s="279"/>
      <c r="BI99" s="279"/>
      <c r="BJ99" s="189"/>
      <c r="BK99" s="189"/>
      <c r="BL99" s="189"/>
      <c r="BM99" s="189"/>
      <c r="BN99" s="194"/>
      <c r="BO99" s="281"/>
      <c r="BP99" s="279"/>
      <c r="BQ99" s="279"/>
      <c r="BR99" s="189"/>
      <c r="BS99" s="189"/>
      <c r="BT99" s="189"/>
      <c r="BU99" s="189"/>
      <c r="BV99" s="194"/>
      <c r="BW99" s="281"/>
      <c r="BX99" s="279"/>
      <c r="BY99" s="279"/>
      <c r="BZ99" s="189"/>
      <c r="CA99" s="189"/>
      <c r="CB99" s="189"/>
      <c r="CC99" s="189"/>
      <c r="CD99" s="194"/>
      <c r="CE99" s="281"/>
      <c r="CF99" s="279"/>
      <c r="CG99" s="279"/>
      <c r="CH99" s="189"/>
      <c r="CI99" s="189"/>
      <c r="CJ99" s="189"/>
      <c r="CK99" s="189"/>
      <c r="CL99" s="194"/>
      <c r="CM99" s="281"/>
      <c r="CN99" s="279"/>
      <c r="CO99" s="279"/>
      <c r="CP99" s="189"/>
      <c r="CQ99" s="189"/>
      <c r="CR99" s="189"/>
      <c r="CS99" s="189"/>
      <c r="CT99" s="194"/>
      <c r="CU99" s="281"/>
      <c r="CV99" s="279"/>
      <c r="CW99" s="279"/>
      <c r="CX99" s="189"/>
      <c r="CY99" s="189"/>
      <c r="CZ99" s="189"/>
      <c r="DA99" s="189"/>
      <c r="DB99" s="194"/>
      <c r="DC99" s="281"/>
      <c r="DD99" s="279"/>
      <c r="DE99" s="279"/>
      <c r="DF99" s="189"/>
      <c r="DG99" s="189"/>
      <c r="DH99" s="189"/>
      <c r="DI99" s="189"/>
      <c r="DJ99" s="194"/>
      <c r="DK99" s="281"/>
      <c r="DL99" s="279"/>
      <c r="DM99" s="279"/>
      <c r="DN99" s="189"/>
      <c r="DO99" s="189"/>
      <c r="DP99" s="189"/>
      <c r="DQ99" s="189"/>
      <c r="DR99" s="194"/>
      <c r="DS99" s="281"/>
      <c r="DT99" s="279"/>
      <c r="DU99" s="279"/>
      <c r="DV99" s="189"/>
      <c r="DW99" s="189"/>
      <c r="DX99" s="189"/>
      <c r="DY99" s="189"/>
      <c r="DZ99" s="194"/>
      <c r="EA99" s="281"/>
      <c r="EB99" s="279"/>
      <c r="EC99" s="279"/>
      <c r="ED99" s="189"/>
      <c r="EE99" s="189"/>
      <c r="EF99" s="189"/>
      <c r="EG99" s="189"/>
      <c r="EH99" s="194"/>
      <c r="EI99" s="281"/>
      <c r="EJ99" s="279"/>
      <c r="EK99" s="279"/>
      <c r="EL99" s="189"/>
      <c r="EM99" s="189"/>
      <c r="EN99" s="189"/>
      <c r="EO99" s="189"/>
      <c r="EP99" s="194"/>
      <c r="EQ99" s="281"/>
      <c r="ER99" s="279"/>
      <c r="ES99" s="279"/>
      <c r="ET99" s="189"/>
      <c r="EU99" s="189"/>
      <c r="EV99" s="189"/>
      <c r="EW99" s="189"/>
      <c r="EX99" s="194"/>
      <c r="EY99" s="281"/>
      <c r="EZ99" s="279"/>
      <c r="FA99" s="279"/>
      <c r="FB99" s="189"/>
      <c r="FC99" s="189"/>
      <c r="FD99" s="189"/>
      <c r="FE99" s="189"/>
      <c r="FF99" s="194"/>
      <c r="FG99" s="281"/>
      <c r="FH99" s="279"/>
      <c r="FI99" s="279"/>
      <c r="FJ99" s="189"/>
      <c r="FK99" s="189"/>
      <c r="FL99" s="189"/>
      <c r="FM99" s="189"/>
      <c r="FN99" s="194"/>
      <c r="FO99" s="281"/>
      <c r="FP99" s="279"/>
      <c r="FQ99" s="279"/>
      <c r="FR99" s="189"/>
      <c r="FS99" s="189"/>
      <c r="FT99" s="189"/>
      <c r="FU99" s="189"/>
      <c r="FV99" s="194"/>
      <c r="FW99" s="281"/>
      <c r="FX99" s="279"/>
      <c r="FY99" s="279"/>
      <c r="FZ99" s="189"/>
      <c r="GA99" s="189"/>
      <c r="GB99" s="189"/>
      <c r="GC99" s="189"/>
      <c r="GD99" s="194"/>
      <c r="GE99" s="281"/>
      <c r="GF99" s="279"/>
      <c r="GG99" s="279"/>
      <c r="GH99" s="189"/>
      <c r="GI99" s="189"/>
      <c r="GJ99" s="189"/>
      <c r="GK99" s="189"/>
      <c r="GL99" s="194"/>
      <c r="GM99" s="281"/>
      <c r="GN99" s="279"/>
      <c r="GO99" s="279"/>
      <c r="GP99" s="189"/>
      <c r="GQ99" s="189"/>
      <c r="GR99" s="189"/>
      <c r="GS99" s="189"/>
      <c r="GT99" s="194"/>
      <c r="GU99" s="281"/>
      <c r="GV99" s="279"/>
      <c r="GW99" s="279"/>
      <c r="GX99" s="189"/>
      <c r="GY99" s="189"/>
      <c r="GZ99" s="189"/>
      <c r="HA99" s="189"/>
      <c r="HB99" s="194"/>
      <c r="HC99" s="281"/>
      <c r="HD99" s="279"/>
      <c r="HE99" s="279"/>
      <c r="HF99" s="189"/>
      <c r="HG99" s="189"/>
      <c r="HH99" s="189"/>
      <c r="HI99" s="189"/>
      <c r="HJ99" s="194"/>
      <c r="HK99" s="281"/>
      <c r="HL99" s="279"/>
      <c r="HM99" s="279"/>
      <c r="HN99" s="189"/>
      <c r="HO99" s="189"/>
      <c r="HP99" s="189"/>
      <c r="HQ99" s="189"/>
      <c r="HR99" s="194"/>
      <c r="HS99" s="281"/>
      <c r="HT99" s="279"/>
      <c r="HU99" s="279"/>
      <c r="HV99" s="189"/>
      <c r="HW99" s="189"/>
      <c r="HX99" s="189"/>
      <c r="HY99" s="189"/>
      <c r="HZ99" s="194"/>
      <c r="IA99" s="281"/>
      <c r="IB99" s="279"/>
      <c r="IC99" s="279"/>
      <c r="ID99" s="189"/>
      <c r="IE99" s="189"/>
      <c r="IF99" s="189"/>
      <c r="IG99" s="189"/>
      <c r="IH99" s="194"/>
      <c r="II99" s="281"/>
      <c r="IJ99" s="279"/>
      <c r="IK99" s="279"/>
      <c r="IL99" s="189"/>
      <c r="IM99" s="189"/>
      <c r="IN99" s="189"/>
      <c r="IO99" s="189"/>
    </row>
    <row r="100" spans="1:249" s="188" customFormat="1" ht="12.75">
      <c r="A100" s="227"/>
      <c r="B100" s="266" t="s">
        <v>448</v>
      </c>
      <c r="C100" s="290" t="s">
        <v>476</v>
      </c>
      <c r="D100" s="210">
        <v>263</v>
      </c>
      <c r="E100" s="247">
        <v>1</v>
      </c>
      <c r="F100" s="247">
        <v>1</v>
      </c>
      <c r="G100" s="210">
        <v>263</v>
      </c>
      <c r="H100" s="291">
        <f t="shared" si="3"/>
        <v>5297.254221702589</v>
      </c>
      <c r="I100" s="291"/>
      <c r="J100" s="212"/>
      <c r="K100" s="281"/>
      <c r="L100" s="279"/>
      <c r="M100" s="279"/>
      <c r="N100" s="189"/>
      <c r="O100" s="189"/>
      <c r="P100" s="189"/>
      <c r="Q100" s="189"/>
      <c r="R100" s="194"/>
      <c r="S100" s="281"/>
      <c r="T100" s="279"/>
      <c r="U100" s="279"/>
      <c r="V100" s="189"/>
      <c r="W100" s="189"/>
      <c r="X100" s="189"/>
      <c r="Y100" s="189"/>
      <c r="Z100" s="194"/>
      <c r="AA100" s="281"/>
      <c r="AB100" s="279"/>
      <c r="AC100" s="279"/>
      <c r="AD100" s="189"/>
      <c r="AE100" s="189"/>
      <c r="AF100" s="189"/>
      <c r="AG100" s="189"/>
      <c r="AH100" s="194"/>
      <c r="AI100" s="281"/>
      <c r="AJ100" s="279"/>
      <c r="AK100" s="279"/>
      <c r="AL100" s="189"/>
      <c r="AM100" s="189"/>
      <c r="AN100" s="189"/>
      <c r="AO100" s="189"/>
      <c r="AP100" s="194"/>
      <c r="AQ100" s="281"/>
      <c r="AR100" s="279"/>
      <c r="AS100" s="279"/>
      <c r="AT100" s="189"/>
      <c r="AU100" s="189"/>
      <c r="AV100" s="189"/>
      <c r="AW100" s="189"/>
      <c r="AX100" s="194"/>
      <c r="AY100" s="281"/>
      <c r="AZ100" s="279"/>
      <c r="BA100" s="279"/>
      <c r="BB100" s="189"/>
      <c r="BC100" s="189"/>
      <c r="BD100" s="189"/>
      <c r="BE100" s="189"/>
      <c r="BF100" s="194"/>
      <c r="BG100" s="281"/>
      <c r="BH100" s="279"/>
      <c r="BI100" s="279"/>
      <c r="BJ100" s="189"/>
      <c r="BK100" s="189"/>
      <c r="BL100" s="189"/>
      <c r="BM100" s="189"/>
      <c r="BN100" s="194"/>
      <c r="BO100" s="281"/>
      <c r="BP100" s="279"/>
      <c r="BQ100" s="279"/>
      <c r="BR100" s="189"/>
      <c r="BS100" s="189"/>
      <c r="BT100" s="189"/>
      <c r="BU100" s="189"/>
      <c r="BV100" s="194"/>
      <c r="BW100" s="281"/>
      <c r="BX100" s="279"/>
      <c r="BY100" s="279"/>
      <c r="BZ100" s="189"/>
      <c r="CA100" s="189"/>
      <c r="CB100" s="189"/>
      <c r="CC100" s="189"/>
      <c r="CD100" s="194"/>
      <c r="CE100" s="281"/>
      <c r="CF100" s="279"/>
      <c r="CG100" s="279"/>
      <c r="CH100" s="189"/>
      <c r="CI100" s="189"/>
      <c r="CJ100" s="189"/>
      <c r="CK100" s="189"/>
      <c r="CL100" s="194"/>
      <c r="CM100" s="281"/>
      <c r="CN100" s="279"/>
      <c r="CO100" s="279"/>
      <c r="CP100" s="189"/>
      <c r="CQ100" s="189"/>
      <c r="CR100" s="189"/>
      <c r="CS100" s="189"/>
      <c r="CT100" s="194"/>
      <c r="CU100" s="281"/>
      <c r="CV100" s="279"/>
      <c r="CW100" s="279"/>
      <c r="CX100" s="189"/>
      <c r="CY100" s="189"/>
      <c r="CZ100" s="189"/>
      <c r="DA100" s="189"/>
      <c r="DB100" s="194"/>
      <c r="DC100" s="281"/>
      <c r="DD100" s="279"/>
      <c r="DE100" s="279"/>
      <c r="DF100" s="189"/>
      <c r="DG100" s="189"/>
      <c r="DH100" s="189"/>
      <c r="DI100" s="189"/>
      <c r="DJ100" s="194"/>
      <c r="DK100" s="281"/>
      <c r="DL100" s="279"/>
      <c r="DM100" s="279"/>
      <c r="DN100" s="189"/>
      <c r="DO100" s="189"/>
      <c r="DP100" s="189"/>
      <c r="DQ100" s="189"/>
      <c r="DR100" s="194"/>
      <c r="DS100" s="281"/>
      <c r="DT100" s="279"/>
      <c r="DU100" s="279"/>
      <c r="DV100" s="189"/>
      <c r="DW100" s="189"/>
      <c r="DX100" s="189"/>
      <c r="DY100" s="189"/>
      <c r="DZ100" s="194"/>
      <c r="EA100" s="281"/>
      <c r="EB100" s="279"/>
      <c r="EC100" s="279"/>
      <c r="ED100" s="189"/>
      <c r="EE100" s="189"/>
      <c r="EF100" s="189"/>
      <c r="EG100" s="189"/>
      <c r="EH100" s="194"/>
      <c r="EI100" s="281"/>
      <c r="EJ100" s="279"/>
      <c r="EK100" s="279"/>
      <c r="EL100" s="189"/>
      <c r="EM100" s="189"/>
      <c r="EN100" s="189"/>
      <c r="EO100" s="189"/>
      <c r="EP100" s="194"/>
      <c r="EQ100" s="281"/>
      <c r="ER100" s="279"/>
      <c r="ES100" s="279"/>
      <c r="ET100" s="189"/>
      <c r="EU100" s="189"/>
      <c r="EV100" s="189"/>
      <c r="EW100" s="189"/>
      <c r="EX100" s="194"/>
      <c r="EY100" s="281"/>
      <c r="EZ100" s="279"/>
      <c r="FA100" s="279"/>
      <c r="FB100" s="189"/>
      <c r="FC100" s="189"/>
      <c r="FD100" s="189"/>
      <c r="FE100" s="189"/>
      <c r="FF100" s="194"/>
      <c r="FG100" s="281"/>
      <c r="FH100" s="279"/>
      <c r="FI100" s="279"/>
      <c r="FJ100" s="189"/>
      <c r="FK100" s="189"/>
      <c r="FL100" s="189"/>
      <c r="FM100" s="189"/>
      <c r="FN100" s="194"/>
      <c r="FO100" s="281"/>
      <c r="FP100" s="279"/>
      <c r="FQ100" s="279"/>
      <c r="FR100" s="189"/>
      <c r="FS100" s="189"/>
      <c r="FT100" s="189"/>
      <c r="FU100" s="189"/>
      <c r="FV100" s="194"/>
      <c r="FW100" s="281"/>
      <c r="FX100" s="279"/>
      <c r="FY100" s="279"/>
      <c r="FZ100" s="189"/>
      <c r="GA100" s="189"/>
      <c r="GB100" s="189"/>
      <c r="GC100" s="189"/>
      <c r="GD100" s="194"/>
      <c r="GE100" s="281"/>
      <c r="GF100" s="279"/>
      <c r="GG100" s="279"/>
      <c r="GH100" s="189"/>
      <c r="GI100" s="189"/>
      <c r="GJ100" s="189"/>
      <c r="GK100" s="189"/>
      <c r="GL100" s="194"/>
      <c r="GM100" s="281"/>
      <c r="GN100" s="279"/>
      <c r="GO100" s="279"/>
      <c r="GP100" s="189"/>
      <c r="GQ100" s="189"/>
      <c r="GR100" s="189"/>
      <c r="GS100" s="189"/>
      <c r="GT100" s="194"/>
      <c r="GU100" s="281"/>
      <c r="GV100" s="279"/>
      <c r="GW100" s="279"/>
      <c r="GX100" s="189"/>
      <c r="GY100" s="189"/>
      <c r="GZ100" s="189"/>
      <c r="HA100" s="189"/>
      <c r="HB100" s="194"/>
      <c r="HC100" s="281"/>
      <c r="HD100" s="279"/>
      <c r="HE100" s="279"/>
      <c r="HF100" s="189"/>
      <c r="HG100" s="189"/>
      <c r="HH100" s="189"/>
      <c r="HI100" s="189"/>
      <c r="HJ100" s="194"/>
      <c r="HK100" s="281"/>
      <c r="HL100" s="279"/>
      <c r="HM100" s="279"/>
      <c r="HN100" s="189"/>
      <c r="HO100" s="189"/>
      <c r="HP100" s="189"/>
      <c r="HQ100" s="189"/>
      <c r="HR100" s="194"/>
      <c r="HS100" s="281"/>
      <c r="HT100" s="279"/>
      <c r="HU100" s="279"/>
      <c r="HV100" s="189"/>
      <c r="HW100" s="189"/>
      <c r="HX100" s="189"/>
      <c r="HY100" s="189"/>
      <c r="HZ100" s="194"/>
      <c r="IA100" s="281"/>
      <c r="IB100" s="279"/>
      <c r="IC100" s="279"/>
      <c r="ID100" s="189"/>
      <c r="IE100" s="189"/>
      <c r="IF100" s="189"/>
      <c r="IG100" s="189"/>
      <c r="IH100" s="194"/>
      <c r="II100" s="281"/>
      <c r="IJ100" s="279"/>
      <c r="IK100" s="279"/>
      <c r="IL100" s="189"/>
      <c r="IM100" s="189"/>
      <c r="IN100" s="189"/>
      <c r="IO100" s="189"/>
    </row>
    <row r="101" spans="1:249" s="188" customFormat="1" ht="12.75">
      <c r="A101" s="227"/>
      <c r="B101" s="266" t="s">
        <v>449</v>
      </c>
      <c r="C101" s="290" t="s">
        <v>476</v>
      </c>
      <c r="D101" s="210">
        <v>430</v>
      </c>
      <c r="E101" s="247">
        <v>1</v>
      </c>
      <c r="F101" s="247">
        <v>1</v>
      </c>
      <c r="G101" s="210">
        <v>430</v>
      </c>
      <c r="H101" s="291">
        <f t="shared" si="3"/>
        <v>8660.909944228568</v>
      </c>
      <c r="I101" s="291"/>
      <c r="J101" s="212"/>
      <c r="K101" s="281"/>
      <c r="L101" s="279"/>
      <c r="M101" s="279"/>
      <c r="N101" s="189"/>
      <c r="O101" s="189"/>
      <c r="P101" s="189"/>
      <c r="Q101" s="189"/>
      <c r="R101" s="194"/>
      <c r="S101" s="281"/>
      <c r="T101" s="279"/>
      <c r="U101" s="279"/>
      <c r="V101" s="189"/>
      <c r="W101" s="189"/>
      <c r="X101" s="189"/>
      <c r="Y101" s="189"/>
      <c r="Z101" s="194"/>
      <c r="AA101" s="281"/>
      <c r="AB101" s="279"/>
      <c r="AC101" s="279"/>
      <c r="AD101" s="189"/>
      <c r="AE101" s="189"/>
      <c r="AF101" s="189"/>
      <c r="AG101" s="189"/>
      <c r="AH101" s="194"/>
      <c r="AI101" s="281"/>
      <c r="AJ101" s="279"/>
      <c r="AK101" s="279"/>
      <c r="AL101" s="189"/>
      <c r="AM101" s="189"/>
      <c r="AN101" s="189"/>
      <c r="AO101" s="189"/>
      <c r="AP101" s="194"/>
      <c r="AQ101" s="281"/>
      <c r="AR101" s="279"/>
      <c r="AS101" s="279"/>
      <c r="AT101" s="189"/>
      <c r="AU101" s="189"/>
      <c r="AV101" s="189"/>
      <c r="AW101" s="189"/>
      <c r="AX101" s="194"/>
      <c r="AY101" s="281"/>
      <c r="AZ101" s="279"/>
      <c r="BA101" s="279"/>
      <c r="BB101" s="189"/>
      <c r="BC101" s="189"/>
      <c r="BD101" s="189"/>
      <c r="BE101" s="189"/>
      <c r="BF101" s="194"/>
      <c r="BG101" s="281"/>
      <c r="BH101" s="279"/>
      <c r="BI101" s="279"/>
      <c r="BJ101" s="189"/>
      <c r="BK101" s="189"/>
      <c r="BL101" s="189"/>
      <c r="BM101" s="189"/>
      <c r="BN101" s="194"/>
      <c r="BO101" s="281"/>
      <c r="BP101" s="279"/>
      <c r="BQ101" s="279"/>
      <c r="BR101" s="189"/>
      <c r="BS101" s="189"/>
      <c r="BT101" s="189"/>
      <c r="BU101" s="189"/>
      <c r="BV101" s="194"/>
      <c r="BW101" s="281"/>
      <c r="BX101" s="279"/>
      <c r="BY101" s="279"/>
      <c r="BZ101" s="189"/>
      <c r="CA101" s="189"/>
      <c r="CB101" s="189"/>
      <c r="CC101" s="189"/>
      <c r="CD101" s="194"/>
      <c r="CE101" s="281"/>
      <c r="CF101" s="279"/>
      <c r="CG101" s="279"/>
      <c r="CH101" s="189"/>
      <c r="CI101" s="189"/>
      <c r="CJ101" s="189"/>
      <c r="CK101" s="189"/>
      <c r="CL101" s="194"/>
      <c r="CM101" s="281"/>
      <c r="CN101" s="279"/>
      <c r="CO101" s="279"/>
      <c r="CP101" s="189"/>
      <c r="CQ101" s="189"/>
      <c r="CR101" s="189"/>
      <c r="CS101" s="189"/>
      <c r="CT101" s="194"/>
      <c r="CU101" s="281"/>
      <c r="CV101" s="279"/>
      <c r="CW101" s="279"/>
      <c r="CX101" s="189"/>
      <c r="CY101" s="189"/>
      <c r="CZ101" s="189"/>
      <c r="DA101" s="189"/>
      <c r="DB101" s="194"/>
      <c r="DC101" s="281"/>
      <c r="DD101" s="279"/>
      <c r="DE101" s="279"/>
      <c r="DF101" s="189"/>
      <c r="DG101" s="189"/>
      <c r="DH101" s="189"/>
      <c r="DI101" s="189"/>
      <c r="DJ101" s="194"/>
      <c r="DK101" s="281"/>
      <c r="DL101" s="279"/>
      <c r="DM101" s="279"/>
      <c r="DN101" s="189"/>
      <c r="DO101" s="189"/>
      <c r="DP101" s="189"/>
      <c r="DQ101" s="189"/>
      <c r="DR101" s="194"/>
      <c r="DS101" s="281"/>
      <c r="DT101" s="279"/>
      <c r="DU101" s="279"/>
      <c r="DV101" s="189"/>
      <c r="DW101" s="189"/>
      <c r="DX101" s="189"/>
      <c r="DY101" s="189"/>
      <c r="DZ101" s="194"/>
      <c r="EA101" s="281"/>
      <c r="EB101" s="279"/>
      <c r="EC101" s="279"/>
      <c r="ED101" s="189"/>
      <c r="EE101" s="189"/>
      <c r="EF101" s="189"/>
      <c r="EG101" s="189"/>
      <c r="EH101" s="194"/>
      <c r="EI101" s="281"/>
      <c r="EJ101" s="279"/>
      <c r="EK101" s="279"/>
      <c r="EL101" s="189"/>
      <c r="EM101" s="189"/>
      <c r="EN101" s="189"/>
      <c r="EO101" s="189"/>
      <c r="EP101" s="194"/>
      <c r="EQ101" s="281"/>
      <c r="ER101" s="279"/>
      <c r="ES101" s="279"/>
      <c r="ET101" s="189"/>
      <c r="EU101" s="189"/>
      <c r="EV101" s="189"/>
      <c r="EW101" s="189"/>
      <c r="EX101" s="194"/>
      <c r="EY101" s="281"/>
      <c r="EZ101" s="279"/>
      <c r="FA101" s="279"/>
      <c r="FB101" s="189"/>
      <c r="FC101" s="189"/>
      <c r="FD101" s="189"/>
      <c r="FE101" s="189"/>
      <c r="FF101" s="194"/>
      <c r="FG101" s="281"/>
      <c r="FH101" s="279"/>
      <c r="FI101" s="279"/>
      <c r="FJ101" s="189"/>
      <c r="FK101" s="189"/>
      <c r="FL101" s="189"/>
      <c r="FM101" s="189"/>
      <c r="FN101" s="194"/>
      <c r="FO101" s="281"/>
      <c r="FP101" s="279"/>
      <c r="FQ101" s="279"/>
      <c r="FR101" s="189"/>
      <c r="FS101" s="189"/>
      <c r="FT101" s="189"/>
      <c r="FU101" s="189"/>
      <c r="FV101" s="194"/>
      <c r="FW101" s="281"/>
      <c r="FX101" s="279"/>
      <c r="FY101" s="279"/>
      <c r="FZ101" s="189"/>
      <c r="GA101" s="189"/>
      <c r="GB101" s="189"/>
      <c r="GC101" s="189"/>
      <c r="GD101" s="194"/>
      <c r="GE101" s="281"/>
      <c r="GF101" s="279"/>
      <c r="GG101" s="279"/>
      <c r="GH101" s="189"/>
      <c r="GI101" s="189"/>
      <c r="GJ101" s="189"/>
      <c r="GK101" s="189"/>
      <c r="GL101" s="194"/>
      <c r="GM101" s="281"/>
      <c r="GN101" s="279"/>
      <c r="GO101" s="279"/>
      <c r="GP101" s="189"/>
      <c r="GQ101" s="189"/>
      <c r="GR101" s="189"/>
      <c r="GS101" s="189"/>
      <c r="GT101" s="194"/>
      <c r="GU101" s="281"/>
      <c r="GV101" s="279"/>
      <c r="GW101" s="279"/>
      <c r="GX101" s="189"/>
      <c r="GY101" s="189"/>
      <c r="GZ101" s="189"/>
      <c r="HA101" s="189"/>
      <c r="HB101" s="194"/>
      <c r="HC101" s="281"/>
      <c r="HD101" s="279"/>
      <c r="HE101" s="279"/>
      <c r="HF101" s="189"/>
      <c r="HG101" s="189"/>
      <c r="HH101" s="189"/>
      <c r="HI101" s="189"/>
      <c r="HJ101" s="194"/>
      <c r="HK101" s="281"/>
      <c r="HL101" s="279"/>
      <c r="HM101" s="279"/>
      <c r="HN101" s="189"/>
      <c r="HO101" s="189"/>
      <c r="HP101" s="189"/>
      <c r="HQ101" s="189"/>
      <c r="HR101" s="194"/>
      <c r="HS101" s="281"/>
      <c r="HT101" s="279"/>
      <c r="HU101" s="279"/>
      <c r="HV101" s="189"/>
      <c r="HW101" s="189"/>
      <c r="HX101" s="189"/>
      <c r="HY101" s="189"/>
      <c r="HZ101" s="194"/>
      <c r="IA101" s="281"/>
      <c r="IB101" s="279"/>
      <c r="IC101" s="279"/>
      <c r="ID101" s="189"/>
      <c r="IE101" s="189"/>
      <c r="IF101" s="189"/>
      <c r="IG101" s="189"/>
      <c r="IH101" s="194"/>
      <c r="II101" s="281"/>
      <c r="IJ101" s="279"/>
      <c r="IK101" s="279"/>
      <c r="IL101" s="189"/>
      <c r="IM101" s="189"/>
      <c r="IN101" s="189"/>
      <c r="IO101" s="189"/>
    </row>
    <row r="102" spans="1:249" s="188" customFormat="1" ht="12.75">
      <c r="A102" s="227"/>
      <c r="B102" s="266" t="s">
        <v>544</v>
      </c>
      <c r="C102" s="290" t="s">
        <v>476</v>
      </c>
      <c r="D102" s="210">
        <v>240</v>
      </c>
      <c r="E102" s="247">
        <v>1</v>
      </c>
      <c r="F102" s="247">
        <v>1</v>
      </c>
      <c r="G102" s="210">
        <v>240</v>
      </c>
      <c r="H102" s="291">
        <f t="shared" si="3"/>
        <v>4833.996247941526</v>
      </c>
      <c r="I102" s="291"/>
      <c r="J102" s="212"/>
      <c r="K102" s="281"/>
      <c r="L102" s="279"/>
      <c r="M102" s="279"/>
      <c r="N102" s="189"/>
      <c r="O102" s="189"/>
      <c r="P102" s="189"/>
      <c r="Q102" s="189"/>
      <c r="R102" s="194"/>
      <c r="S102" s="281"/>
      <c r="T102" s="279"/>
      <c r="U102" s="279"/>
      <c r="V102" s="189"/>
      <c r="W102" s="189"/>
      <c r="X102" s="189"/>
      <c r="Y102" s="189"/>
      <c r="Z102" s="194"/>
      <c r="AA102" s="281"/>
      <c r="AB102" s="279"/>
      <c r="AC102" s="279"/>
      <c r="AD102" s="189"/>
      <c r="AE102" s="189"/>
      <c r="AF102" s="189"/>
      <c r="AG102" s="189"/>
      <c r="AH102" s="194"/>
      <c r="AI102" s="281"/>
      <c r="AJ102" s="279"/>
      <c r="AK102" s="279"/>
      <c r="AL102" s="189"/>
      <c r="AM102" s="189"/>
      <c r="AN102" s="189"/>
      <c r="AO102" s="189"/>
      <c r="AP102" s="194"/>
      <c r="AQ102" s="281"/>
      <c r="AR102" s="279"/>
      <c r="AS102" s="279"/>
      <c r="AT102" s="189"/>
      <c r="AU102" s="189"/>
      <c r="AV102" s="189"/>
      <c r="AW102" s="189"/>
      <c r="AX102" s="194"/>
      <c r="AY102" s="281"/>
      <c r="AZ102" s="279"/>
      <c r="BA102" s="279"/>
      <c r="BB102" s="189"/>
      <c r="BC102" s="189"/>
      <c r="BD102" s="189"/>
      <c r="BE102" s="189"/>
      <c r="BF102" s="194"/>
      <c r="BG102" s="281"/>
      <c r="BH102" s="279"/>
      <c r="BI102" s="279"/>
      <c r="BJ102" s="189"/>
      <c r="BK102" s="189"/>
      <c r="BL102" s="189"/>
      <c r="BM102" s="189"/>
      <c r="BN102" s="194"/>
      <c r="BO102" s="281"/>
      <c r="BP102" s="279"/>
      <c r="BQ102" s="279"/>
      <c r="BR102" s="189"/>
      <c r="BS102" s="189"/>
      <c r="BT102" s="189"/>
      <c r="BU102" s="189"/>
      <c r="BV102" s="194"/>
      <c r="BW102" s="281"/>
      <c r="BX102" s="279"/>
      <c r="BY102" s="279"/>
      <c r="BZ102" s="189"/>
      <c r="CA102" s="189"/>
      <c r="CB102" s="189"/>
      <c r="CC102" s="189"/>
      <c r="CD102" s="194"/>
      <c r="CE102" s="281"/>
      <c r="CF102" s="279"/>
      <c r="CG102" s="279"/>
      <c r="CH102" s="189"/>
      <c r="CI102" s="189"/>
      <c r="CJ102" s="189"/>
      <c r="CK102" s="189"/>
      <c r="CL102" s="194"/>
      <c r="CM102" s="281"/>
      <c r="CN102" s="279"/>
      <c r="CO102" s="279"/>
      <c r="CP102" s="189"/>
      <c r="CQ102" s="189"/>
      <c r="CR102" s="189"/>
      <c r="CS102" s="189"/>
      <c r="CT102" s="194"/>
      <c r="CU102" s="281"/>
      <c r="CV102" s="279"/>
      <c r="CW102" s="279"/>
      <c r="CX102" s="189"/>
      <c r="CY102" s="189"/>
      <c r="CZ102" s="189"/>
      <c r="DA102" s="189"/>
      <c r="DB102" s="194"/>
      <c r="DC102" s="281"/>
      <c r="DD102" s="279"/>
      <c r="DE102" s="279"/>
      <c r="DF102" s="189"/>
      <c r="DG102" s="189"/>
      <c r="DH102" s="189"/>
      <c r="DI102" s="189"/>
      <c r="DJ102" s="194"/>
      <c r="DK102" s="281"/>
      <c r="DL102" s="279"/>
      <c r="DM102" s="279"/>
      <c r="DN102" s="189"/>
      <c r="DO102" s="189"/>
      <c r="DP102" s="189"/>
      <c r="DQ102" s="189"/>
      <c r="DR102" s="194"/>
      <c r="DS102" s="281"/>
      <c r="DT102" s="279"/>
      <c r="DU102" s="279"/>
      <c r="DV102" s="189"/>
      <c r="DW102" s="189"/>
      <c r="DX102" s="189"/>
      <c r="DY102" s="189"/>
      <c r="DZ102" s="194"/>
      <c r="EA102" s="281"/>
      <c r="EB102" s="279"/>
      <c r="EC102" s="279"/>
      <c r="ED102" s="189"/>
      <c r="EE102" s="189"/>
      <c r="EF102" s="189"/>
      <c r="EG102" s="189"/>
      <c r="EH102" s="194"/>
      <c r="EI102" s="281"/>
      <c r="EJ102" s="279"/>
      <c r="EK102" s="279"/>
      <c r="EL102" s="189"/>
      <c r="EM102" s="189"/>
      <c r="EN102" s="189"/>
      <c r="EO102" s="189"/>
      <c r="EP102" s="194"/>
      <c r="EQ102" s="281"/>
      <c r="ER102" s="279"/>
      <c r="ES102" s="279"/>
      <c r="ET102" s="189"/>
      <c r="EU102" s="189"/>
      <c r="EV102" s="189"/>
      <c r="EW102" s="189"/>
      <c r="EX102" s="194"/>
      <c r="EY102" s="281"/>
      <c r="EZ102" s="279"/>
      <c r="FA102" s="279"/>
      <c r="FB102" s="189"/>
      <c r="FC102" s="189"/>
      <c r="FD102" s="189"/>
      <c r="FE102" s="189"/>
      <c r="FF102" s="194"/>
      <c r="FG102" s="281"/>
      <c r="FH102" s="279"/>
      <c r="FI102" s="279"/>
      <c r="FJ102" s="189"/>
      <c r="FK102" s="189"/>
      <c r="FL102" s="189"/>
      <c r="FM102" s="189"/>
      <c r="FN102" s="194"/>
      <c r="FO102" s="281"/>
      <c r="FP102" s="279"/>
      <c r="FQ102" s="279"/>
      <c r="FR102" s="189"/>
      <c r="FS102" s="189"/>
      <c r="FT102" s="189"/>
      <c r="FU102" s="189"/>
      <c r="FV102" s="194"/>
      <c r="FW102" s="281"/>
      <c r="FX102" s="279"/>
      <c r="FY102" s="279"/>
      <c r="FZ102" s="189"/>
      <c r="GA102" s="189"/>
      <c r="GB102" s="189"/>
      <c r="GC102" s="189"/>
      <c r="GD102" s="194"/>
      <c r="GE102" s="281"/>
      <c r="GF102" s="279"/>
      <c r="GG102" s="279"/>
      <c r="GH102" s="189"/>
      <c r="GI102" s="189"/>
      <c r="GJ102" s="189"/>
      <c r="GK102" s="189"/>
      <c r="GL102" s="194"/>
      <c r="GM102" s="281"/>
      <c r="GN102" s="279"/>
      <c r="GO102" s="279"/>
      <c r="GP102" s="189"/>
      <c r="GQ102" s="189"/>
      <c r="GR102" s="189"/>
      <c r="GS102" s="189"/>
      <c r="GT102" s="194"/>
      <c r="GU102" s="281"/>
      <c r="GV102" s="279"/>
      <c r="GW102" s="279"/>
      <c r="GX102" s="189"/>
      <c r="GY102" s="189"/>
      <c r="GZ102" s="189"/>
      <c r="HA102" s="189"/>
      <c r="HB102" s="194"/>
      <c r="HC102" s="281"/>
      <c r="HD102" s="279"/>
      <c r="HE102" s="279"/>
      <c r="HF102" s="189"/>
      <c r="HG102" s="189"/>
      <c r="HH102" s="189"/>
      <c r="HI102" s="189"/>
      <c r="HJ102" s="194"/>
      <c r="HK102" s="281"/>
      <c r="HL102" s="279"/>
      <c r="HM102" s="279"/>
      <c r="HN102" s="189"/>
      <c r="HO102" s="189"/>
      <c r="HP102" s="189"/>
      <c r="HQ102" s="189"/>
      <c r="HR102" s="194"/>
      <c r="HS102" s="281"/>
      <c r="HT102" s="279"/>
      <c r="HU102" s="279"/>
      <c r="HV102" s="189"/>
      <c r="HW102" s="189"/>
      <c r="HX102" s="189"/>
      <c r="HY102" s="189"/>
      <c r="HZ102" s="194"/>
      <c r="IA102" s="281"/>
      <c r="IB102" s="279"/>
      <c r="IC102" s="279"/>
      <c r="ID102" s="189"/>
      <c r="IE102" s="189"/>
      <c r="IF102" s="189"/>
      <c r="IG102" s="189"/>
      <c r="IH102" s="194"/>
      <c r="II102" s="281"/>
      <c r="IJ102" s="279"/>
      <c r="IK102" s="279"/>
      <c r="IL102" s="189"/>
      <c r="IM102" s="189"/>
      <c r="IN102" s="189"/>
      <c r="IO102" s="189"/>
    </row>
    <row r="103" spans="1:249" s="188" customFormat="1" ht="12.75">
      <c r="A103" s="227"/>
      <c r="B103" s="266" t="s">
        <v>464</v>
      </c>
      <c r="C103" s="290" t="s">
        <v>476</v>
      </c>
      <c r="D103" s="210">
        <v>256</v>
      </c>
      <c r="E103" s="247">
        <v>1</v>
      </c>
      <c r="F103" s="247">
        <v>1</v>
      </c>
      <c r="G103" s="210">
        <v>256</v>
      </c>
      <c r="H103" s="291">
        <f t="shared" si="3"/>
        <v>5156.262664470962</v>
      </c>
      <c r="I103" s="291"/>
      <c r="J103" s="212"/>
      <c r="K103" s="281"/>
      <c r="L103" s="279"/>
      <c r="M103" s="279"/>
      <c r="N103" s="189"/>
      <c r="O103" s="189"/>
      <c r="P103" s="189"/>
      <c r="Q103" s="189"/>
      <c r="R103" s="194"/>
      <c r="S103" s="281"/>
      <c r="T103" s="279"/>
      <c r="U103" s="279"/>
      <c r="V103" s="189"/>
      <c r="W103" s="189"/>
      <c r="X103" s="189"/>
      <c r="Y103" s="189"/>
      <c r="Z103" s="194"/>
      <c r="AA103" s="281"/>
      <c r="AB103" s="279"/>
      <c r="AC103" s="279"/>
      <c r="AD103" s="189"/>
      <c r="AE103" s="189"/>
      <c r="AF103" s="189"/>
      <c r="AG103" s="189"/>
      <c r="AH103" s="194"/>
      <c r="AI103" s="281"/>
      <c r="AJ103" s="279"/>
      <c r="AK103" s="279"/>
      <c r="AL103" s="189"/>
      <c r="AM103" s="189"/>
      <c r="AN103" s="189"/>
      <c r="AO103" s="189"/>
      <c r="AP103" s="194"/>
      <c r="AQ103" s="281"/>
      <c r="AR103" s="279"/>
      <c r="AS103" s="279"/>
      <c r="AT103" s="189"/>
      <c r="AU103" s="189"/>
      <c r="AV103" s="189"/>
      <c r="AW103" s="189"/>
      <c r="AX103" s="194"/>
      <c r="AY103" s="281"/>
      <c r="AZ103" s="279"/>
      <c r="BA103" s="279"/>
      <c r="BB103" s="189"/>
      <c r="BC103" s="189"/>
      <c r="BD103" s="189"/>
      <c r="BE103" s="189"/>
      <c r="BF103" s="194"/>
      <c r="BG103" s="281"/>
      <c r="BH103" s="279"/>
      <c r="BI103" s="279"/>
      <c r="BJ103" s="189"/>
      <c r="BK103" s="189"/>
      <c r="BL103" s="189"/>
      <c r="BM103" s="189"/>
      <c r="BN103" s="194"/>
      <c r="BO103" s="281"/>
      <c r="BP103" s="279"/>
      <c r="BQ103" s="279"/>
      <c r="BR103" s="189"/>
      <c r="BS103" s="189"/>
      <c r="BT103" s="189"/>
      <c r="BU103" s="189"/>
      <c r="BV103" s="194"/>
      <c r="BW103" s="281"/>
      <c r="BX103" s="279"/>
      <c r="BY103" s="279"/>
      <c r="BZ103" s="189"/>
      <c r="CA103" s="189"/>
      <c r="CB103" s="189"/>
      <c r="CC103" s="189"/>
      <c r="CD103" s="194"/>
      <c r="CE103" s="281"/>
      <c r="CF103" s="279"/>
      <c r="CG103" s="279"/>
      <c r="CH103" s="189"/>
      <c r="CI103" s="189"/>
      <c r="CJ103" s="189"/>
      <c r="CK103" s="189"/>
      <c r="CL103" s="194"/>
      <c r="CM103" s="281"/>
      <c r="CN103" s="279"/>
      <c r="CO103" s="279"/>
      <c r="CP103" s="189"/>
      <c r="CQ103" s="189"/>
      <c r="CR103" s="189"/>
      <c r="CS103" s="189"/>
      <c r="CT103" s="194"/>
      <c r="CU103" s="281"/>
      <c r="CV103" s="279"/>
      <c r="CW103" s="279"/>
      <c r="CX103" s="189"/>
      <c r="CY103" s="189"/>
      <c r="CZ103" s="189"/>
      <c r="DA103" s="189"/>
      <c r="DB103" s="194"/>
      <c r="DC103" s="281"/>
      <c r="DD103" s="279"/>
      <c r="DE103" s="279"/>
      <c r="DF103" s="189"/>
      <c r="DG103" s="189"/>
      <c r="DH103" s="189"/>
      <c r="DI103" s="189"/>
      <c r="DJ103" s="194"/>
      <c r="DK103" s="281"/>
      <c r="DL103" s="279"/>
      <c r="DM103" s="279"/>
      <c r="DN103" s="189"/>
      <c r="DO103" s="189"/>
      <c r="DP103" s="189"/>
      <c r="DQ103" s="189"/>
      <c r="DR103" s="194"/>
      <c r="DS103" s="281"/>
      <c r="DT103" s="279"/>
      <c r="DU103" s="279"/>
      <c r="DV103" s="189"/>
      <c r="DW103" s="189"/>
      <c r="DX103" s="189"/>
      <c r="DY103" s="189"/>
      <c r="DZ103" s="194"/>
      <c r="EA103" s="281"/>
      <c r="EB103" s="279"/>
      <c r="EC103" s="279"/>
      <c r="ED103" s="189"/>
      <c r="EE103" s="189"/>
      <c r="EF103" s="189"/>
      <c r="EG103" s="189"/>
      <c r="EH103" s="194"/>
      <c r="EI103" s="281"/>
      <c r="EJ103" s="279"/>
      <c r="EK103" s="279"/>
      <c r="EL103" s="189"/>
      <c r="EM103" s="189"/>
      <c r="EN103" s="189"/>
      <c r="EO103" s="189"/>
      <c r="EP103" s="194"/>
      <c r="EQ103" s="281"/>
      <c r="ER103" s="279"/>
      <c r="ES103" s="279"/>
      <c r="ET103" s="189"/>
      <c r="EU103" s="189"/>
      <c r="EV103" s="189"/>
      <c r="EW103" s="189"/>
      <c r="EX103" s="194"/>
      <c r="EY103" s="281"/>
      <c r="EZ103" s="279"/>
      <c r="FA103" s="279"/>
      <c r="FB103" s="189"/>
      <c r="FC103" s="189"/>
      <c r="FD103" s="189"/>
      <c r="FE103" s="189"/>
      <c r="FF103" s="194"/>
      <c r="FG103" s="281"/>
      <c r="FH103" s="279"/>
      <c r="FI103" s="279"/>
      <c r="FJ103" s="189"/>
      <c r="FK103" s="189"/>
      <c r="FL103" s="189"/>
      <c r="FM103" s="189"/>
      <c r="FN103" s="194"/>
      <c r="FO103" s="281"/>
      <c r="FP103" s="279"/>
      <c r="FQ103" s="279"/>
      <c r="FR103" s="189"/>
      <c r="FS103" s="189"/>
      <c r="FT103" s="189"/>
      <c r="FU103" s="189"/>
      <c r="FV103" s="194"/>
      <c r="FW103" s="281"/>
      <c r="FX103" s="279"/>
      <c r="FY103" s="279"/>
      <c r="FZ103" s="189"/>
      <c r="GA103" s="189"/>
      <c r="GB103" s="189"/>
      <c r="GC103" s="189"/>
      <c r="GD103" s="194"/>
      <c r="GE103" s="281"/>
      <c r="GF103" s="279"/>
      <c r="GG103" s="279"/>
      <c r="GH103" s="189"/>
      <c r="GI103" s="189"/>
      <c r="GJ103" s="189"/>
      <c r="GK103" s="189"/>
      <c r="GL103" s="194"/>
      <c r="GM103" s="281"/>
      <c r="GN103" s="279"/>
      <c r="GO103" s="279"/>
      <c r="GP103" s="189"/>
      <c r="GQ103" s="189"/>
      <c r="GR103" s="189"/>
      <c r="GS103" s="189"/>
      <c r="GT103" s="194"/>
      <c r="GU103" s="281"/>
      <c r="GV103" s="279"/>
      <c r="GW103" s="279"/>
      <c r="GX103" s="189"/>
      <c r="GY103" s="189"/>
      <c r="GZ103" s="189"/>
      <c r="HA103" s="189"/>
      <c r="HB103" s="194"/>
      <c r="HC103" s="281"/>
      <c r="HD103" s="279"/>
      <c r="HE103" s="279"/>
      <c r="HF103" s="189"/>
      <c r="HG103" s="189"/>
      <c r="HH103" s="189"/>
      <c r="HI103" s="189"/>
      <c r="HJ103" s="194"/>
      <c r="HK103" s="281"/>
      <c r="HL103" s="279"/>
      <c r="HM103" s="279"/>
      <c r="HN103" s="189"/>
      <c r="HO103" s="189"/>
      <c r="HP103" s="189"/>
      <c r="HQ103" s="189"/>
      <c r="HR103" s="194"/>
      <c r="HS103" s="281"/>
      <c r="HT103" s="279"/>
      <c r="HU103" s="279"/>
      <c r="HV103" s="189"/>
      <c r="HW103" s="189"/>
      <c r="HX103" s="189"/>
      <c r="HY103" s="189"/>
      <c r="HZ103" s="194"/>
      <c r="IA103" s="281"/>
      <c r="IB103" s="279"/>
      <c r="IC103" s="279"/>
      <c r="ID103" s="189"/>
      <c r="IE103" s="189"/>
      <c r="IF103" s="189"/>
      <c r="IG103" s="189"/>
      <c r="IH103" s="194"/>
      <c r="II103" s="281"/>
      <c r="IJ103" s="279"/>
      <c r="IK103" s="279"/>
      <c r="IL103" s="189"/>
      <c r="IM103" s="189"/>
      <c r="IN103" s="189"/>
      <c r="IO103" s="189"/>
    </row>
    <row r="104" spans="1:249" s="188" customFormat="1" ht="25.5">
      <c r="A104" s="227"/>
      <c r="B104" s="249" t="s">
        <v>485</v>
      </c>
      <c r="C104" s="290" t="s">
        <v>476</v>
      </c>
      <c r="D104" s="210">
        <v>85</v>
      </c>
      <c r="E104" s="247">
        <v>1</v>
      </c>
      <c r="F104" s="247">
        <v>1</v>
      </c>
      <c r="G104" s="210">
        <v>85</v>
      </c>
      <c r="H104" s="291">
        <f t="shared" si="3"/>
        <v>1712.040337812624</v>
      </c>
      <c r="I104" s="291"/>
      <c r="J104" s="212"/>
      <c r="K104" s="281"/>
      <c r="L104" s="279"/>
      <c r="M104" s="279"/>
      <c r="N104" s="189"/>
      <c r="O104" s="189"/>
      <c r="P104" s="189"/>
      <c r="Q104" s="189"/>
      <c r="R104" s="194"/>
      <c r="S104" s="281"/>
      <c r="T104" s="279"/>
      <c r="U104" s="279"/>
      <c r="V104" s="189"/>
      <c r="W104" s="189"/>
      <c r="X104" s="189"/>
      <c r="Y104" s="189"/>
      <c r="Z104" s="194"/>
      <c r="AA104" s="281"/>
      <c r="AB104" s="279"/>
      <c r="AC104" s="279"/>
      <c r="AD104" s="189"/>
      <c r="AE104" s="189"/>
      <c r="AF104" s="189"/>
      <c r="AG104" s="189"/>
      <c r="AH104" s="194"/>
      <c r="AI104" s="281"/>
      <c r="AJ104" s="279"/>
      <c r="AK104" s="279"/>
      <c r="AL104" s="189"/>
      <c r="AM104" s="189"/>
      <c r="AN104" s="189"/>
      <c r="AO104" s="189"/>
      <c r="AP104" s="194"/>
      <c r="AQ104" s="281"/>
      <c r="AR104" s="279"/>
      <c r="AS104" s="279"/>
      <c r="AT104" s="189"/>
      <c r="AU104" s="189"/>
      <c r="AV104" s="189"/>
      <c r="AW104" s="189"/>
      <c r="AX104" s="194"/>
      <c r="AY104" s="281"/>
      <c r="AZ104" s="279"/>
      <c r="BA104" s="279"/>
      <c r="BB104" s="189"/>
      <c r="BC104" s="189"/>
      <c r="BD104" s="189"/>
      <c r="BE104" s="189"/>
      <c r="BF104" s="194"/>
      <c r="BG104" s="281"/>
      <c r="BH104" s="279"/>
      <c r="BI104" s="279"/>
      <c r="BJ104" s="189"/>
      <c r="BK104" s="189"/>
      <c r="BL104" s="189"/>
      <c r="BM104" s="189"/>
      <c r="BN104" s="194"/>
      <c r="BO104" s="281"/>
      <c r="BP104" s="279"/>
      <c r="BQ104" s="279"/>
      <c r="BR104" s="189"/>
      <c r="BS104" s="189"/>
      <c r="BT104" s="189"/>
      <c r="BU104" s="189"/>
      <c r="BV104" s="194"/>
      <c r="BW104" s="281"/>
      <c r="BX104" s="279"/>
      <c r="BY104" s="279"/>
      <c r="BZ104" s="189"/>
      <c r="CA104" s="189"/>
      <c r="CB104" s="189"/>
      <c r="CC104" s="189"/>
      <c r="CD104" s="194"/>
      <c r="CE104" s="281"/>
      <c r="CF104" s="279"/>
      <c r="CG104" s="279"/>
      <c r="CH104" s="189"/>
      <c r="CI104" s="189"/>
      <c r="CJ104" s="189"/>
      <c r="CK104" s="189"/>
      <c r="CL104" s="194"/>
      <c r="CM104" s="281"/>
      <c r="CN104" s="279"/>
      <c r="CO104" s="279"/>
      <c r="CP104" s="189"/>
      <c r="CQ104" s="189"/>
      <c r="CR104" s="189"/>
      <c r="CS104" s="189"/>
      <c r="CT104" s="194"/>
      <c r="CU104" s="281"/>
      <c r="CV104" s="279"/>
      <c r="CW104" s="279"/>
      <c r="CX104" s="189"/>
      <c r="CY104" s="189"/>
      <c r="CZ104" s="189"/>
      <c r="DA104" s="189"/>
      <c r="DB104" s="194"/>
      <c r="DC104" s="281"/>
      <c r="DD104" s="279"/>
      <c r="DE104" s="279"/>
      <c r="DF104" s="189"/>
      <c r="DG104" s="189"/>
      <c r="DH104" s="189"/>
      <c r="DI104" s="189"/>
      <c r="DJ104" s="194"/>
      <c r="DK104" s="281"/>
      <c r="DL104" s="279"/>
      <c r="DM104" s="279"/>
      <c r="DN104" s="189"/>
      <c r="DO104" s="189"/>
      <c r="DP104" s="189"/>
      <c r="DQ104" s="189"/>
      <c r="DR104" s="194"/>
      <c r="DS104" s="281"/>
      <c r="DT104" s="279"/>
      <c r="DU104" s="279"/>
      <c r="DV104" s="189"/>
      <c r="DW104" s="189"/>
      <c r="DX104" s="189"/>
      <c r="DY104" s="189"/>
      <c r="DZ104" s="194"/>
      <c r="EA104" s="281"/>
      <c r="EB104" s="279"/>
      <c r="EC104" s="279"/>
      <c r="ED104" s="189"/>
      <c r="EE104" s="189"/>
      <c r="EF104" s="189"/>
      <c r="EG104" s="189"/>
      <c r="EH104" s="194"/>
      <c r="EI104" s="281"/>
      <c r="EJ104" s="279"/>
      <c r="EK104" s="279"/>
      <c r="EL104" s="189"/>
      <c r="EM104" s="189"/>
      <c r="EN104" s="189"/>
      <c r="EO104" s="189"/>
      <c r="EP104" s="194"/>
      <c r="EQ104" s="281"/>
      <c r="ER104" s="279"/>
      <c r="ES104" s="279"/>
      <c r="ET104" s="189"/>
      <c r="EU104" s="189"/>
      <c r="EV104" s="189"/>
      <c r="EW104" s="189"/>
      <c r="EX104" s="194"/>
      <c r="EY104" s="281"/>
      <c r="EZ104" s="279"/>
      <c r="FA104" s="279"/>
      <c r="FB104" s="189"/>
      <c r="FC104" s="189"/>
      <c r="FD104" s="189"/>
      <c r="FE104" s="189"/>
      <c r="FF104" s="194"/>
      <c r="FG104" s="281"/>
      <c r="FH104" s="279"/>
      <c r="FI104" s="279"/>
      <c r="FJ104" s="189"/>
      <c r="FK104" s="189"/>
      <c r="FL104" s="189"/>
      <c r="FM104" s="189"/>
      <c r="FN104" s="194"/>
      <c r="FO104" s="281"/>
      <c r="FP104" s="279"/>
      <c r="FQ104" s="279"/>
      <c r="FR104" s="189"/>
      <c r="FS104" s="189"/>
      <c r="FT104" s="189"/>
      <c r="FU104" s="189"/>
      <c r="FV104" s="194"/>
      <c r="FW104" s="281"/>
      <c r="FX104" s="279"/>
      <c r="FY104" s="279"/>
      <c r="FZ104" s="189"/>
      <c r="GA104" s="189"/>
      <c r="GB104" s="189"/>
      <c r="GC104" s="189"/>
      <c r="GD104" s="194"/>
      <c r="GE104" s="281"/>
      <c r="GF104" s="279"/>
      <c r="GG104" s="279"/>
      <c r="GH104" s="189"/>
      <c r="GI104" s="189"/>
      <c r="GJ104" s="189"/>
      <c r="GK104" s="189"/>
      <c r="GL104" s="194"/>
      <c r="GM104" s="281"/>
      <c r="GN104" s="279"/>
      <c r="GO104" s="279"/>
      <c r="GP104" s="189"/>
      <c r="GQ104" s="189"/>
      <c r="GR104" s="189"/>
      <c r="GS104" s="189"/>
      <c r="GT104" s="194"/>
      <c r="GU104" s="281"/>
      <c r="GV104" s="279"/>
      <c r="GW104" s="279"/>
      <c r="GX104" s="189"/>
      <c r="GY104" s="189"/>
      <c r="GZ104" s="189"/>
      <c r="HA104" s="189"/>
      <c r="HB104" s="194"/>
      <c r="HC104" s="281"/>
      <c r="HD104" s="279"/>
      <c r="HE104" s="279"/>
      <c r="HF104" s="189"/>
      <c r="HG104" s="189"/>
      <c r="HH104" s="189"/>
      <c r="HI104" s="189"/>
      <c r="HJ104" s="194"/>
      <c r="HK104" s="281"/>
      <c r="HL104" s="279"/>
      <c r="HM104" s="279"/>
      <c r="HN104" s="189"/>
      <c r="HO104" s="189"/>
      <c r="HP104" s="189"/>
      <c r="HQ104" s="189"/>
      <c r="HR104" s="194"/>
      <c r="HS104" s="281"/>
      <c r="HT104" s="279"/>
      <c r="HU104" s="279"/>
      <c r="HV104" s="189"/>
      <c r="HW104" s="189"/>
      <c r="HX104" s="189"/>
      <c r="HY104" s="189"/>
      <c r="HZ104" s="194"/>
      <c r="IA104" s="281"/>
      <c r="IB104" s="279"/>
      <c r="IC104" s="279"/>
      <c r="ID104" s="189"/>
      <c r="IE104" s="189"/>
      <c r="IF104" s="189"/>
      <c r="IG104" s="189"/>
      <c r="IH104" s="194"/>
      <c r="II104" s="281"/>
      <c r="IJ104" s="279"/>
      <c r="IK104" s="279"/>
      <c r="IL104" s="189"/>
      <c r="IM104" s="189"/>
      <c r="IN104" s="189"/>
      <c r="IO104" s="189"/>
    </row>
    <row r="105" spans="1:249" s="188" customFormat="1" ht="12.75">
      <c r="A105" s="227"/>
      <c r="B105" s="249" t="s">
        <v>545</v>
      </c>
      <c r="C105" s="290" t="s">
        <v>476</v>
      </c>
      <c r="D105" s="210">
        <v>153</v>
      </c>
      <c r="E105" s="247">
        <v>1</v>
      </c>
      <c r="F105" s="247">
        <v>1</v>
      </c>
      <c r="G105" s="210">
        <v>153</v>
      </c>
      <c r="H105" s="291">
        <f t="shared" si="3"/>
        <v>3081.672608062723</v>
      </c>
      <c r="I105" s="291"/>
      <c r="J105" s="212"/>
      <c r="K105" s="281"/>
      <c r="L105" s="279"/>
      <c r="M105" s="279"/>
      <c r="N105" s="189"/>
      <c r="O105" s="189"/>
      <c r="P105" s="189"/>
      <c r="Q105" s="189"/>
      <c r="R105" s="194"/>
      <c r="S105" s="281"/>
      <c r="T105" s="279"/>
      <c r="U105" s="279"/>
      <c r="V105" s="189"/>
      <c r="W105" s="189"/>
      <c r="X105" s="189"/>
      <c r="Y105" s="189"/>
      <c r="Z105" s="194"/>
      <c r="AA105" s="281"/>
      <c r="AB105" s="279"/>
      <c r="AC105" s="279"/>
      <c r="AD105" s="189"/>
      <c r="AE105" s="189"/>
      <c r="AF105" s="189"/>
      <c r="AG105" s="189"/>
      <c r="AH105" s="194"/>
      <c r="AI105" s="281"/>
      <c r="AJ105" s="279"/>
      <c r="AK105" s="279"/>
      <c r="AL105" s="189"/>
      <c r="AM105" s="189"/>
      <c r="AN105" s="189"/>
      <c r="AO105" s="189"/>
      <c r="AP105" s="194"/>
      <c r="AQ105" s="281"/>
      <c r="AR105" s="279"/>
      <c r="AS105" s="279"/>
      <c r="AT105" s="189"/>
      <c r="AU105" s="189"/>
      <c r="AV105" s="189"/>
      <c r="AW105" s="189"/>
      <c r="AX105" s="194"/>
      <c r="AY105" s="281"/>
      <c r="AZ105" s="279"/>
      <c r="BA105" s="279"/>
      <c r="BB105" s="189"/>
      <c r="BC105" s="189"/>
      <c r="BD105" s="189"/>
      <c r="BE105" s="189"/>
      <c r="BF105" s="194"/>
      <c r="BG105" s="281"/>
      <c r="BH105" s="279"/>
      <c r="BI105" s="279"/>
      <c r="BJ105" s="189"/>
      <c r="BK105" s="189"/>
      <c r="BL105" s="189"/>
      <c r="BM105" s="189"/>
      <c r="BN105" s="194"/>
      <c r="BO105" s="281"/>
      <c r="BP105" s="279"/>
      <c r="BQ105" s="279"/>
      <c r="BR105" s="189"/>
      <c r="BS105" s="189"/>
      <c r="BT105" s="189"/>
      <c r="BU105" s="189"/>
      <c r="BV105" s="194"/>
      <c r="BW105" s="281"/>
      <c r="BX105" s="279"/>
      <c r="BY105" s="279"/>
      <c r="BZ105" s="189"/>
      <c r="CA105" s="189"/>
      <c r="CB105" s="189"/>
      <c r="CC105" s="189"/>
      <c r="CD105" s="194"/>
      <c r="CE105" s="281"/>
      <c r="CF105" s="279"/>
      <c r="CG105" s="279"/>
      <c r="CH105" s="189"/>
      <c r="CI105" s="189"/>
      <c r="CJ105" s="189"/>
      <c r="CK105" s="189"/>
      <c r="CL105" s="194"/>
      <c r="CM105" s="281"/>
      <c r="CN105" s="279"/>
      <c r="CO105" s="279"/>
      <c r="CP105" s="189"/>
      <c r="CQ105" s="189"/>
      <c r="CR105" s="189"/>
      <c r="CS105" s="189"/>
      <c r="CT105" s="194"/>
      <c r="CU105" s="281"/>
      <c r="CV105" s="279"/>
      <c r="CW105" s="279"/>
      <c r="CX105" s="189"/>
      <c r="CY105" s="189"/>
      <c r="CZ105" s="189"/>
      <c r="DA105" s="189"/>
      <c r="DB105" s="194"/>
      <c r="DC105" s="281"/>
      <c r="DD105" s="279"/>
      <c r="DE105" s="279"/>
      <c r="DF105" s="189"/>
      <c r="DG105" s="189"/>
      <c r="DH105" s="189"/>
      <c r="DI105" s="189"/>
      <c r="DJ105" s="194"/>
      <c r="DK105" s="281"/>
      <c r="DL105" s="279"/>
      <c r="DM105" s="279"/>
      <c r="DN105" s="189"/>
      <c r="DO105" s="189"/>
      <c r="DP105" s="189"/>
      <c r="DQ105" s="189"/>
      <c r="DR105" s="194"/>
      <c r="DS105" s="281"/>
      <c r="DT105" s="279"/>
      <c r="DU105" s="279"/>
      <c r="DV105" s="189"/>
      <c r="DW105" s="189"/>
      <c r="DX105" s="189"/>
      <c r="DY105" s="189"/>
      <c r="DZ105" s="194"/>
      <c r="EA105" s="281"/>
      <c r="EB105" s="279"/>
      <c r="EC105" s="279"/>
      <c r="ED105" s="189"/>
      <c r="EE105" s="189"/>
      <c r="EF105" s="189"/>
      <c r="EG105" s="189"/>
      <c r="EH105" s="194"/>
      <c r="EI105" s="281"/>
      <c r="EJ105" s="279"/>
      <c r="EK105" s="279"/>
      <c r="EL105" s="189"/>
      <c r="EM105" s="189"/>
      <c r="EN105" s="189"/>
      <c r="EO105" s="189"/>
      <c r="EP105" s="194"/>
      <c r="EQ105" s="281"/>
      <c r="ER105" s="279"/>
      <c r="ES105" s="279"/>
      <c r="ET105" s="189"/>
      <c r="EU105" s="189"/>
      <c r="EV105" s="189"/>
      <c r="EW105" s="189"/>
      <c r="EX105" s="194"/>
      <c r="EY105" s="281"/>
      <c r="EZ105" s="279"/>
      <c r="FA105" s="279"/>
      <c r="FB105" s="189"/>
      <c r="FC105" s="189"/>
      <c r="FD105" s="189"/>
      <c r="FE105" s="189"/>
      <c r="FF105" s="194"/>
      <c r="FG105" s="281"/>
      <c r="FH105" s="279"/>
      <c r="FI105" s="279"/>
      <c r="FJ105" s="189"/>
      <c r="FK105" s="189"/>
      <c r="FL105" s="189"/>
      <c r="FM105" s="189"/>
      <c r="FN105" s="194"/>
      <c r="FO105" s="281"/>
      <c r="FP105" s="279"/>
      <c r="FQ105" s="279"/>
      <c r="FR105" s="189"/>
      <c r="FS105" s="189"/>
      <c r="FT105" s="189"/>
      <c r="FU105" s="189"/>
      <c r="FV105" s="194"/>
      <c r="FW105" s="281"/>
      <c r="FX105" s="279"/>
      <c r="FY105" s="279"/>
      <c r="FZ105" s="189"/>
      <c r="GA105" s="189"/>
      <c r="GB105" s="189"/>
      <c r="GC105" s="189"/>
      <c r="GD105" s="194"/>
      <c r="GE105" s="281"/>
      <c r="GF105" s="279"/>
      <c r="GG105" s="279"/>
      <c r="GH105" s="189"/>
      <c r="GI105" s="189"/>
      <c r="GJ105" s="189"/>
      <c r="GK105" s="189"/>
      <c r="GL105" s="194"/>
      <c r="GM105" s="281"/>
      <c r="GN105" s="279"/>
      <c r="GO105" s="279"/>
      <c r="GP105" s="189"/>
      <c r="GQ105" s="189"/>
      <c r="GR105" s="189"/>
      <c r="GS105" s="189"/>
      <c r="GT105" s="194"/>
      <c r="GU105" s="281"/>
      <c r="GV105" s="279"/>
      <c r="GW105" s="279"/>
      <c r="GX105" s="189"/>
      <c r="GY105" s="189"/>
      <c r="GZ105" s="189"/>
      <c r="HA105" s="189"/>
      <c r="HB105" s="194"/>
      <c r="HC105" s="281"/>
      <c r="HD105" s="279"/>
      <c r="HE105" s="279"/>
      <c r="HF105" s="189"/>
      <c r="HG105" s="189"/>
      <c r="HH105" s="189"/>
      <c r="HI105" s="189"/>
      <c r="HJ105" s="194"/>
      <c r="HK105" s="281"/>
      <c r="HL105" s="279"/>
      <c r="HM105" s="279"/>
      <c r="HN105" s="189"/>
      <c r="HO105" s="189"/>
      <c r="HP105" s="189"/>
      <c r="HQ105" s="189"/>
      <c r="HR105" s="194"/>
      <c r="HS105" s="281"/>
      <c r="HT105" s="279"/>
      <c r="HU105" s="279"/>
      <c r="HV105" s="189"/>
      <c r="HW105" s="189"/>
      <c r="HX105" s="189"/>
      <c r="HY105" s="189"/>
      <c r="HZ105" s="194"/>
      <c r="IA105" s="281"/>
      <c r="IB105" s="279"/>
      <c r="IC105" s="279"/>
      <c r="ID105" s="189"/>
      <c r="IE105" s="189"/>
      <c r="IF105" s="189"/>
      <c r="IG105" s="189"/>
      <c r="IH105" s="194"/>
      <c r="II105" s="281"/>
      <c r="IJ105" s="279"/>
      <c r="IK105" s="279"/>
      <c r="IL105" s="189"/>
      <c r="IM105" s="189"/>
      <c r="IN105" s="189"/>
      <c r="IO105" s="189"/>
    </row>
    <row r="106" spans="1:249" s="188" customFormat="1" ht="12.75">
      <c r="A106" s="227"/>
      <c r="B106" s="266" t="s">
        <v>450</v>
      </c>
      <c r="C106" s="290" t="s">
        <v>476</v>
      </c>
      <c r="D106" s="210">
        <v>114</v>
      </c>
      <c r="E106" s="247">
        <v>1</v>
      </c>
      <c r="F106" s="247">
        <v>1</v>
      </c>
      <c r="G106" s="210">
        <v>114</v>
      </c>
      <c r="H106" s="291">
        <f t="shared" si="3"/>
        <v>2296.148217772225</v>
      </c>
      <c r="I106" s="291"/>
      <c r="J106" s="212"/>
      <c r="K106" s="281"/>
      <c r="L106" s="279"/>
      <c r="M106" s="279"/>
      <c r="N106" s="189"/>
      <c r="O106" s="189"/>
      <c r="P106" s="189"/>
      <c r="Q106" s="189"/>
      <c r="R106" s="194"/>
      <c r="S106" s="281"/>
      <c r="T106" s="279"/>
      <c r="U106" s="279"/>
      <c r="V106" s="189"/>
      <c r="W106" s="189"/>
      <c r="X106" s="189"/>
      <c r="Y106" s="189"/>
      <c r="Z106" s="194"/>
      <c r="AA106" s="281"/>
      <c r="AB106" s="279"/>
      <c r="AC106" s="279"/>
      <c r="AD106" s="189"/>
      <c r="AE106" s="189"/>
      <c r="AF106" s="189"/>
      <c r="AG106" s="189"/>
      <c r="AH106" s="194"/>
      <c r="AI106" s="281"/>
      <c r="AJ106" s="279"/>
      <c r="AK106" s="279"/>
      <c r="AL106" s="189"/>
      <c r="AM106" s="189"/>
      <c r="AN106" s="189"/>
      <c r="AO106" s="189"/>
      <c r="AP106" s="194"/>
      <c r="AQ106" s="281"/>
      <c r="AR106" s="279"/>
      <c r="AS106" s="279"/>
      <c r="AT106" s="189"/>
      <c r="AU106" s="189"/>
      <c r="AV106" s="189"/>
      <c r="AW106" s="189"/>
      <c r="AX106" s="194"/>
      <c r="AY106" s="281"/>
      <c r="AZ106" s="279"/>
      <c r="BA106" s="279"/>
      <c r="BB106" s="189"/>
      <c r="BC106" s="189"/>
      <c r="BD106" s="189"/>
      <c r="BE106" s="189"/>
      <c r="BF106" s="194"/>
      <c r="BG106" s="281"/>
      <c r="BH106" s="279"/>
      <c r="BI106" s="279"/>
      <c r="BJ106" s="189"/>
      <c r="BK106" s="189"/>
      <c r="BL106" s="189"/>
      <c r="BM106" s="189"/>
      <c r="BN106" s="194"/>
      <c r="BO106" s="281"/>
      <c r="BP106" s="279"/>
      <c r="BQ106" s="279"/>
      <c r="BR106" s="189"/>
      <c r="BS106" s="189"/>
      <c r="BT106" s="189"/>
      <c r="BU106" s="189"/>
      <c r="BV106" s="194"/>
      <c r="BW106" s="281"/>
      <c r="BX106" s="279"/>
      <c r="BY106" s="279"/>
      <c r="BZ106" s="189"/>
      <c r="CA106" s="189"/>
      <c r="CB106" s="189"/>
      <c r="CC106" s="189"/>
      <c r="CD106" s="194"/>
      <c r="CE106" s="281"/>
      <c r="CF106" s="279"/>
      <c r="CG106" s="279"/>
      <c r="CH106" s="189"/>
      <c r="CI106" s="189"/>
      <c r="CJ106" s="189"/>
      <c r="CK106" s="189"/>
      <c r="CL106" s="194"/>
      <c r="CM106" s="281"/>
      <c r="CN106" s="279"/>
      <c r="CO106" s="279"/>
      <c r="CP106" s="189"/>
      <c r="CQ106" s="189"/>
      <c r="CR106" s="189"/>
      <c r="CS106" s="189"/>
      <c r="CT106" s="194"/>
      <c r="CU106" s="281"/>
      <c r="CV106" s="279"/>
      <c r="CW106" s="279"/>
      <c r="CX106" s="189"/>
      <c r="CY106" s="189"/>
      <c r="CZ106" s="189"/>
      <c r="DA106" s="189"/>
      <c r="DB106" s="194"/>
      <c r="DC106" s="281"/>
      <c r="DD106" s="279"/>
      <c r="DE106" s="279"/>
      <c r="DF106" s="189"/>
      <c r="DG106" s="189"/>
      <c r="DH106" s="189"/>
      <c r="DI106" s="189"/>
      <c r="DJ106" s="194"/>
      <c r="DK106" s="281"/>
      <c r="DL106" s="279"/>
      <c r="DM106" s="279"/>
      <c r="DN106" s="189"/>
      <c r="DO106" s="189"/>
      <c r="DP106" s="189"/>
      <c r="DQ106" s="189"/>
      <c r="DR106" s="194"/>
      <c r="DS106" s="281"/>
      <c r="DT106" s="279"/>
      <c r="DU106" s="279"/>
      <c r="DV106" s="189"/>
      <c r="DW106" s="189"/>
      <c r="DX106" s="189"/>
      <c r="DY106" s="189"/>
      <c r="DZ106" s="194"/>
      <c r="EA106" s="281"/>
      <c r="EB106" s="279"/>
      <c r="EC106" s="279"/>
      <c r="ED106" s="189"/>
      <c r="EE106" s="189"/>
      <c r="EF106" s="189"/>
      <c r="EG106" s="189"/>
      <c r="EH106" s="194"/>
      <c r="EI106" s="281"/>
      <c r="EJ106" s="279"/>
      <c r="EK106" s="279"/>
      <c r="EL106" s="189"/>
      <c r="EM106" s="189"/>
      <c r="EN106" s="189"/>
      <c r="EO106" s="189"/>
      <c r="EP106" s="194"/>
      <c r="EQ106" s="281"/>
      <c r="ER106" s="279"/>
      <c r="ES106" s="279"/>
      <c r="ET106" s="189"/>
      <c r="EU106" s="189"/>
      <c r="EV106" s="189"/>
      <c r="EW106" s="189"/>
      <c r="EX106" s="194"/>
      <c r="EY106" s="281"/>
      <c r="EZ106" s="279"/>
      <c r="FA106" s="279"/>
      <c r="FB106" s="189"/>
      <c r="FC106" s="189"/>
      <c r="FD106" s="189"/>
      <c r="FE106" s="189"/>
      <c r="FF106" s="194"/>
      <c r="FG106" s="281"/>
      <c r="FH106" s="279"/>
      <c r="FI106" s="279"/>
      <c r="FJ106" s="189"/>
      <c r="FK106" s="189"/>
      <c r="FL106" s="189"/>
      <c r="FM106" s="189"/>
      <c r="FN106" s="194"/>
      <c r="FO106" s="281"/>
      <c r="FP106" s="279"/>
      <c r="FQ106" s="279"/>
      <c r="FR106" s="189"/>
      <c r="FS106" s="189"/>
      <c r="FT106" s="189"/>
      <c r="FU106" s="189"/>
      <c r="FV106" s="194"/>
      <c r="FW106" s="281"/>
      <c r="FX106" s="279"/>
      <c r="FY106" s="279"/>
      <c r="FZ106" s="189"/>
      <c r="GA106" s="189"/>
      <c r="GB106" s="189"/>
      <c r="GC106" s="189"/>
      <c r="GD106" s="194"/>
      <c r="GE106" s="281"/>
      <c r="GF106" s="279"/>
      <c r="GG106" s="279"/>
      <c r="GH106" s="189"/>
      <c r="GI106" s="189"/>
      <c r="GJ106" s="189"/>
      <c r="GK106" s="189"/>
      <c r="GL106" s="194"/>
      <c r="GM106" s="281"/>
      <c r="GN106" s="279"/>
      <c r="GO106" s="279"/>
      <c r="GP106" s="189"/>
      <c r="GQ106" s="189"/>
      <c r="GR106" s="189"/>
      <c r="GS106" s="189"/>
      <c r="GT106" s="194"/>
      <c r="GU106" s="281"/>
      <c r="GV106" s="279"/>
      <c r="GW106" s="279"/>
      <c r="GX106" s="189"/>
      <c r="GY106" s="189"/>
      <c r="GZ106" s="189"/>
      <c r="HA106" s="189"/>
      <c r="HB106" s="194"/>
      <c r="HC106" s="281"/>
      <c r="HD106" s="279"/>
      <c r="HE106" s="279"/>
      <c r="HF106" s="189"/>
      <c r="HG106" s="189"/>
      <c r="HH106" s="189"/>
      <c r="HI106" s="189"/>
      <c r="HJ106" s="194"/>
      <c r="HK106" s="281"/>
      <c r="HL106" s="279"/>
      <c r="HM106" s="279"/>
      <c r="HN106" s="189"/>
      <c r="HO106" s="189"/>
      <c r="HP106" s="189"/>
      <c r="HQ106" s="189"/>
      <c r="HR106" s="194"/>
      <c r="HS106" s="281"/>
      <c r="HT106" s="279"/>
      <c r="HU106" s="279"/>
      <c r="HV106" s="189"/>
      <c r="HW106" s="189"/>
      <c r="HX106" s="189"/>
      <c r="HY106" s="189"/>
      <c r="HZ106" s="194"/>
      <c r="IA106" s="281"/>
      <c r="IB106" s="279"/>
      <c r="IC106" s="279"/>
      <c r="ID106" s="189"/>
      <c r="IE106" s="189"/>
      <c r="IF106" s="189"/>
      <c r="IG106" s="189"/>
      <c r="IH106" s="194"/>
      <c r="II106" s="281"/>
      <c r="IJ106" s="279"/>
      <c r="IK106" s="279"/>
      <c r="IL106" s="189"/>
      <c r="IM106" s="189"/>
      <c r="IN106" s="189"/>
      <c r="IO106" s="189"/>
    </row>
    <row r="107" spans="1:249" s="188" customFormat="1" ht="12.75">
      <c r="A107" s="227"/>
      <c r="B107" s="266" t="s">
        <v>486</v>
      </c>
      <c r="C107" s="290" t="s">
        <v>476</v>
      </c>
      <c r="D107" s="210">
        <v>305</v>
      </c>
      <c r="E107" s="247">
        <v>1</v>
      </c>
      <c r="F107" s="247">
        <v>1</v>
      </c>
      <c r="G107" s="210">
        <v>305</v>
      </c>
      <c r="H107" s="291">
        <f t="shared" si="3"/>
        <v>6143.203565092356</v>
      </c>
      <c r="I107" s="291"/>
      <c r="J107" s="212"/>
      <c r="K107" s="281"/>
      <c r="L107" s="279"/>
      <c r="M107" s="279"/>
      <c r="N107" s="189"/>
      <c r="O107" s="189"/>
      <c r="P107" s="189"/>
      <c r="Q107" s="189"/>
      <c r="R107" s="194"/>
      <c r="S107" s="281"/>
      <c r="T107" s="279"/>
      <c r="U107" s="279"/>
      <c r="V107" s="189"/>
      <c r="W107" s="189"/>
      <c r="X107" s="189"/>
      <c r="Y107" s="189"/>
      <c r="Z107" s="194"/>
      <c r="AA107" s="281"/>
      <c r="AB107" s="279"/>
      <c r="AC107" s="279"/>
      <c r="AD107" s="189"/>
      <c r="AE107" s="189"/>
      <c r="AF107" s="189"/>
      <c r="AG107" s="189"/>
      <c r="AH107" s="194"/>
      <c r="AI107" s="281"/>
      <c r="AJ107" s="279"/>
      <c r="AK107" s="279"/>
      <c r="AL107" s="189"/>
      <c r="AM107" s="189"/>
      <c r="AN107" s="189"/>
      <c r="AO107" s="189"/>
      <c r="AP107" s="194"/>
      <c r="AQ107" s="281"/>
      <c r="AR107" s="279"/>
      <c r="AS107" s="279"/>
      <c r="AT107" s="189"/>
      <c r="AU107" s="189"/>
      <c r="AV107" s="189"/>
      <c r="AW107" s="189"/>
      <c r="AX107" s="194"/>
      <c r="AY107" s="281"/>
      <c r="AZ107" s="279"/>
      <c r="BA107" s="279"/>
      <c r="BB107" s="189"/>
      <c r="BC107" s="189"/>
      <c r="BD107" s="189"/>
      <c r="BE107" s="189"/>
      <c r="BF107" s="194"/>
      <c r="BG107" s="281"/>
      <c r="BH107" s="279"/>
      <c r="BI107" s="279"/>
      <c r="BJ107" s="189"/>
      <c r="BK107" s="189"/>
      <c r="BL107" s="189"/>
      <c r="BM107" s="189"/>
      <c r="BN107" s="194"/>
      <c r="BO107" s="281"/>
      <c r="BP107" s="279"/>
      <c r="BQ107" s="279"/>
      <c r="BR107" s="189"/>
      <c r="BS107" s="189"/>
      <c r="BT107" s="189"/>
      <c r="BU107" s="189"/>
      <c r="BV107" s="194"/>
      <c r="BW107" s="281"/>
      <c r="BX107" s="279"/>
      <c r="BY107" s="279"/>
      <c r="BZ107" s="189"/>
      <c r="CA107" s="189"/>
      <c r="CB107" s="189"/>
      <c r="CC107" s="189"/>
      <c r="CD107" s="194"/>
      <c r="CE107" s="281"/>
      <c r="CF107" s="279"/>
      <c r="CG107" s="279"/>
      <c r="CH107" s="189"/>
      <c r="CI107" s="189"/>
      <c r="CJ107" s="189"/>
      <c r="CK107" s="189"/>
      <c r="CL107" s="194"/>
      <c r="CM107" s="281"/>
      <c r="CN107" s="279"/>
      <c r="CO107" s="279"/>
      <c r="CP107" s="189"/>
      <c r="CQ107" s="189"/>
      <c r="CR107" s="189"/>
      <c r="CS107" s="189"/>
      <c r="CT107" s="194"/>
      <c r="CU107" s="281"/>
      <c r="CV107" s="279"/>
      <c r="CW107" s="279"/>
      <c r="CX107" s="189"/>
      <c r="CY107" s="189"/>
      <c r="CZ107" s="189"/>
      <c r="DA107" s="189"/>
      <c r="DB107" s="194"/>
      <c r="DC107" s="281"/>
      <c r="DD107" s="279"/>
      <c r="DE107" s="279"/>
      <c r="DF107" s="189"/>
      <c r="DG107" s="189"/>
      <c r="DH107" s="189"/>
      <c r="DI107" s="189"/>
      <c r="DJ107" s="194"/>
      <c r="DK107" s="281"/>
      <c r="DL107" s="279"/>
      <c r="DM107" s="279"/>
      <c r="DN107" s="189"/>
      <c r="DO107" s="189"/>
      <c r="DP107" s="189"/>
      <c r="DQ107" s="189"/>
      <c r="DR107" s="194"/>
      <c r="DS107" s="281"/>
      <c r="DT107" s="279"/>
      <c r="DU107" s="279"/>
      <c r="DV107" s="189"/>
      <c r="DW107" s="189"/>
      <c r="DX107" s="189"/>
      <c r="DY107" s="189"/>
      <c r="DZ107" s="194"/>
      <c r="EA107" s="281"/>
      <c r="EB107" s="279"/>
      <c r="EC107" s="279"/>
      <c r="ED107" s="189"/>
      <c r="EE107" s="189"/>
      <c r="EF107" s="189"/>
      <c r="EG107" s="189"/>
      <c r="EH107" s="194"/>
      <c r="EI107" s="281"/>
      <c r="EJ107" s="279"/>
      <c r="EK107" s="279"/>
      <c r="EL107" s="189"/>
      <c r="EM107" s="189"/>
      <c r="EN107" s="189"/>
      <c r="EO107" s="189"/>
      <c r="EP107" s="194"/>
      <c r="EQ107" s="281"/>
      <c r="ER107" s="279"/>
      <c r="ES107" s="279"/>
      <c r="ET107" s="189"/>
      <c r="EU107" s="189"/>
      <c r="EV107" s="189"/>
      <c r="EW107" s="189"/>
      <c r="EX107" s="194"/>
      <c r="EY107" s="281"/>
      <c r="EZ107" s="279"/>
      <c r="FA107" s="279"/>
      <c r="FB107" s="189"/>
      <c r="FC107" s="189"/>
      <c r="FD107" s="189"/>
      <c r="FE107" s="189"/>
      <c r="FF107" s="194"/>
      <c r="FG107" s="281"/>
      <c r="FH107" s="279"/>
      <c r="FI107" s="279"/>
      <c r="FJ107" s="189"/>
      <c r="FK107" s="189"/>
      <c r="FL107" s="189"/>
      <c r="FM107" s="189"/>
      <c r="FN107" s="194"/>
      <c r="FO107" s="281"/>
      <c r="FP107" s="279"/>
      <c r="FQ107" s="279"/>
      <c r="FR107" s="189"/>
      <c r="FS107" s="189"/>
      <c r="FT107" s="189"/>
      <c r="FU107" s="189"/>
      <c r="FV107" s="194"/>
      <c r="FW107" s="281"/>
      <c r="FX107" s="279"/>
      <c r="FY107" s="279"/>
      <c r="FZ107" s="189"/>
      <c r="GA107" s="189"/>
      <c r="GB107" s="189"/>
      <c r="GC107" s="189"/>
      <c r="GD107" s="194"/>
      <c r="GE107" s="281"/>
      <c r="GF107" s="279"/>
      <c r="GG107" s="279"/>
      <c r="GH107" s="189"/>
      <c r="GI107" s="189"/>
      <c r="GJ107" s="189"/>
      <c r="GK107" s="189"/>
      <c r="GL107" s="194"/>
      <c r="GM107" s="281"/>
      <c r="GN107" s="279"/>
      <c r="GO107" s="279"/>
      <c r="GP107" s="189"/>
      <c r="GQ107" s="189"/>
      <c r="GR107" s="189"/>
      <c r="GS107" s="189"/>
      <c r="GT107" s="194"/>
      <c r="GU107" s="281"/>
      <c r="GV107" s="279"/>
      <c r="GW107" s="279"/>
      <c r="GX107" s="189"/>
      <c r="GY107" s="189"/>
      <c r="GZ107" s="189"/>
      <c r="HA107" s="189"/>
      <c r="HB107" s="194"/>
      <c r="HC107" s="281"/>
      <c r="HD107" s="279"/>
      <c r="HE107" s="279"/>
      <c r="HF107" s="189"/>
      <c r="HG107" s="189"/>
      <c r="HH107" s="189"/>
      <c r="HI107" s="189"/>
      <c r="HJ107" s="194"/>
      <c r="HK107" s="281"/>
      <c r="HL107" s="279"/>
      <c r="HM107" s="279"/>
      <c r="HN107" s="189"/>
      <c r="HO107" s="189"/>
      <c r="HP107" s="189"/>
      <c r="HQ107" s="189"/>
      <c r="HR107" s="194"/>
      <c r="HS107" s="281"/>
      <c r="HT107" s="279"/>
      <c r="HU107" s="279"/>
      <c r="HV107" s="189"/>
      <c r="HW107" s="189"/>
      <c r="HX107" s="189"/>
      <c r="HY107" s="189"/>
      <c r="HZ107" s="194"/>
      <c r="IA107" s="281"/>
      <c r="IB107" s="279"/>
      <c r="IC107" s="279"/>
      <c r="ID107" s="189"/>
      <c r="IE107" s="189"/>
      <c r="IF107" s="189"/>
      <c r="IG107" s="189"/>
      <c r="IH107" s="194"/>
      <c r="II107" s="281"/>
      <c r="IJ107" s="279"/>
      <c r="IK107" s="279"/>
      <c r="IL107" s="189"/>
      <c r="IM107" s="189"/>
      <c r="IN107" s="189"/>
      <c r="IO107" s="189"/>
    </row>
    <row r="108" spans="1:249" s="188" customFormat="1" ht="12.75">
      <c r="A108" s="227"/>
      <c r="B108" s="266" t="s">
        <v>459</v>
      </c>
      <c r="C108" s="290" t="s">
        <v>476</v>
      </c>
      <c r="D108" s="210">
        <v>30</v>
      </c>
      <c r="E108" s="247">
        <v>1</v>
      </c>
      <c r="F108" s="247">
        <v>1</v>
      </c>
      <c r="G108" s="210">
        <v>30</v>
      </c>
      <c r="H108" s="291">
        <f t="shared" si="3"/>
        <v>604.2495309926908</v>
      </c>
      <c r="I108" s="291"/>
      <c r="J108" s="212"/>
      <c r="K108" s="281"/>
      <c r="L108" s="279"/>
      <c r="M108" s="279"/>
      <c r="N108" s="189"/>
      <c r="O108" s="189"/>
      <c r="P108" s="189"/>
      <c r="Q108" s="189"/>
      <c r="R108" s="194"/>
      <c r="S108" s="281"/>
      <c r="T108" s="279"/>
      <c r="U108" s="279"/>
      <c r="V108" s="189"/>
      <c r="W108" s="189"/>
      <c r="X108" s="189"/>
      <c r="Y108" s="189"/>
      <c r="Z108" s="194"/>
      <c r="AA108" s="281"/>
      <c r="AB108" s="279"/>
      <c r="AC108" s="279"/>
      <c r="AD108" s="189"/>
      <c r="AE108" s="189"/>
      <c r="AF108" s="189"/>
      <c r="AG108" s="189"/>
      <c r="AH108" s="194"/>
      <c r="AI108" s="281"/>
      <c r="AJ108" s="279"/>
      <c r="AK108" s="279"/>
      <c r="AL108" s="189"/>
      <c r="AM108" s="189"/>
      <c r="AN108" s="189"/>
      <c r="AO108" s="189"/>
      <c r="AP108" s="194"/>
      <c r="AQ108" s="281"/>
      <c r="AR108" s="279"/>
      <c r="AS108" s="279"/>
      <c r="AT108" s="189"/>
      <c r="AU108" s="189"/>
      <c r="AV108" s="189"/>
      <c r="AW108" s="189"/>
      <c r="AX108" s="194"/>
      <c r="AY108" s="281"/>
      <c r="AZ108" s="279"/>
      <c r="BA108" s="279"/>
      <c r="BB108" s="189"/>
      <c r="BC108" s="189"/>
      <c r="BD108" s="189"/>
      <c r="BE108" s="189"/>
      <c r="BF108" s="194"/>
      <c r="BG108" s="281"/>
      <c r="BH108" s="279"/>
      <c r="BI108" s="279"/>
      <c r="BJ108" s="189"/>
      <c r="BK108" s="189"/>
      <c r="BL108" s="189"/>
      <c r="BM108" s="189"/>
      <c r="BN108" s="194"/>
      <c r="BO108" s="281"/>
      <c r="BP108" s="279"/>
      <c r="BQ108" s="279"/>
      <c r="BR108" s="189"/>
      <c r="BS108" s="189"/>
      <c r="BT108" s="189"/>
      <c r="BU108" s="189"/>
      <c r="BV108" s="194"/>
      <c r="BW108" s="281"/>
      <c r="BX108" s="279"/>
      <c r="BY108" s="279"/>
      <c r="BZ108" s="189"/>
      <c r="CA108" s="189"/>
      <c r="CB108" s="189"/>
      <c r="CC108" s="189"/>
      <c r="CD108" s="194"/>
      <c r="CE108" s="281"/>
      <c r="CF108" s="279"/>
      <c r="CG108" s="279"/>
      <c r="CH108" s="189"/>
      <c r="CI108" s="189"/>
      <c r="CJ108" s="189"/>
      <c r="CK108" s="189"/>
      <c r="CL108" s="194"/>
      <c r="CM108" s="281"/>
      <c r="CN108" s="279"/>
      <c r="CO108" s="279"/>
      <c r="CP108" s="189"/>
      <c r="CQ108" s="189"/>
      <c r="CR108" s="189"/>
      <c r="CS108" s="189"/>
      <c r="CT108" s="194"/>
      <c r="CU108" s="281"/>
      <c r="CV108" s="279"/>
      <c r="CW108" s="279"/>
      <c r="CX108" s="189"/>
      <c r="CY108" s="189"/>
      <c r="CZ108" s="189"/>
      <c r="DA108" s="189"/>
      <c r="DB108" s="194"/>
      <c r="DC108" s="281"/>
      <c r="DD108" s="279"/>
      <c r="DE108" s="279"/>
      <c r="DF108" s="189"/>
      <c r="DG108" s="189"/>
      <c r="DH108" s="189"/>
      <c r="DI108" s="189"/>
      <c r="DJ108" s="194"/>
      <c r="DK108" s="281"/>
      <c r="DL108" s="279"/>
      <c r="DM108" s="279"/>
      <c r="DN108" s="189"/>
      <c r="DO108" s="189"/>
      <c r="DP108" s="189"/>
      <c r="DQ108" s="189"/>
      <c r="DR108" s="194"/>
      <c r="DS108" s="281"/>
      <c r="DT108" s="279"/>
      <c r="DU108" s="279"/>
      <c r="DV108" s="189"/>
      <c r="DW108" s="189"/>
      <c r="DX108" s="189"/>
      <c r="DY108" s="189"/>
      <c r="DZ108" s="194"/>
      <c r="EA108" s="281"/>
      <c r="EB108" s="279"/>
      <c r="EC108" s="279"/>
      <c r="ED108" s="189"/>
      <c r="EE108" s="189"/>
      <c r="EF108" s="189"/>
      <c r="EG108" s="189"/>
      <c r="EH108" s="194"/>
      <c r="EI108" s="281"/>
      <c r="EJ108" s="279"/>
      <c r="EK108" s="279"/>
      <c r="EL108" s="189"/>
      <c r="EM108" s="189"/>
      <c r="EN108" s="189"/>
      <c r="EO108" s="189"/>
      <c r="EP108" s="194"/>
      <c r="EQ108" s="281"/>
      <c r="ER108" s="279"/>
      <c r="ES108" s="279"/>
      <c r="ET108" s="189"/>
      <c r="EU108" s="189"/>
      <c r="EV108" s="189"/>
      <c r="EW108" s="189"/>
      <c r="EX108" s="194"/>
      <c r="EY108" s="281"/>
      <c r="EZ108" s="279"/>
      <c r="FA108" s="279"/>
      <c r="FB108" s="189"/>
      <c r="FC108" s="189"/>
      <c r="FD108" s="189"/>
      <c r="FE108" s="189"/>
      <c r="FF108" s="194"/>
      <c r="FG108" s="281"/>
      <c r="FH108" s="279"/>
      <c r="FI108" s="279"/>
      <c r="FJ108" s="189"/>
      <c r="FK108" s="189"/>
      <c r="FL108" s="189"/>
      <c r="FM108" s="189"/>
      <c r="FN108" s="194"/>
      <c r="FO108" s="281"/>
      <c r="FP108" s="279"/>
      <c r="FQ108" s="279"/>
      <c r="FR108" s="189"/>
      <c r="FS108" s="189"/>
      <c r="FT108" s="189"/>
      <c r="FU108" s="189"/>
      <c r="FV108" s="194"/>
      <c r="FW108" s="281"/>
      <c r="FX108" s="279"/>
      <c r="FY108" s="279"/>
      <c r="FZ108" s="189"/>
      <c r="GA108" s="189"/>
      <c r="GB108" s="189"/>
      <c r="GC108" s="189"/>
      <c r="GD108" s="194"/>
      <c r="GE108" s="281"/>
      <c r="GF108" s="279"/>
      <c r="GG108" s="279"/>
      <c r="GH108" s="189"/>
      <c r="GI108" s="189"/>
      <c r="GJ108" s="189"/>
      <c r="GK108" s="189"/>
      <c r="GL108" s="194"/>
      <c r="GM108" s="281"/>
      <c r="GN108" s="279"/>
      <c r="GO108" s="279"/>
      <c r="GP108" s="189"/>
      <c r="GQ108" s="189"/>
      <c r="GR108" s="189"/>
      <c r="GS108" s="189"/>
      <c r="GT108" s="194"/>
      <c r="GU108" s="281"/>
      <c r="GV108" s="279"/>
      <c r="GW108" s="279"/>
      <c r="GX108" s="189"/>
      <c r="GY108" s="189"/>
      <c r="GZ108" s="189"/>
      <c r="HA108" s="189"/>
      <c r="HB108" s="194"/>
      <c r="HC108" s="281"/>
      <c r="HD108" s="279"/>
      <c r="HE108" s="279"/>
      <c r="HF108" s="189"/>
      <c r="HG108" s="189"/>
      <c r="HH108" s="189"/>
      <c r="HI108" s="189"/>
      <c r="HJ108" s="194"/>
      <c r="HK108" s="281"/>
      <c r="HL108" s="279"/>
      <c r="HM108" s="279"/>
      <c r="HN108" s="189"/>
      <c r="HO108" s="189"/>
      <c r="HP108" s="189"/>
      <c r="HQ108" s="189"/>
      <c r="HR108" s="194"/>
      <c r="HS108" s="281"/>
      <c r="HT108" s="279"/>
      <c r="HU108" s="279"/>
      <c r="HV108" s="189"/>
      <c r="HW108" s="189"/>
      <c r="HX108" s="189"/>
      <c r="HY108" s="189"/>
      <c r="HZ108" s="194"/>
      <c r="IA108" s="281"/>
      <c r="IB108" s="279"/>
      <c r="IC108" s="279"/>
      <c r="ID108" s="189"/>
      <c r="IE108" s="189"/>
      <c r="IF108" s="189"/>
      <c r="IG108" s="189"/>
      <c r="IH108" s="194"/>
      <c r="II108" s="281"/>
      <c r="IJ108" s="279"/>
      <c r="IK108" s="279"/>
      <c r="IL108" s="189"/>
      <c r="IM108" s="189"/>
      <c r="IN108" s="189"/>
      <c r="IO108" s="189"/>
    </row>
    <row r="109" spans="1:249" s="188" customFormat="1" ht="12.75">
      <c r="A109" s="227"/>
      <c r="B109" s="266" t="s">
        <v>483</v>
      </c>
      <c r="C109" s="290" t="s">
        <v>476</v>
      </c>
      <c r="D109" s="289">
        <v>64</v>
      </c>
      <c r="E109" s="247">
        <v>1</v>
      </c>
      <c r="F109" s="247">
        <v>1</v>
      </c>
      <c r="G109" s="289">
        <v>64</v>
      </c>
      <c r="H109" s="291">
        <f t="shared" si="3"/>
        <v>1289.0656661177404</v>
      </c>
      <c r="I109" s="291"/>
      <c r="J109" s="212"/>
      <c r="K109" s="281"/>
      <c r="L109" s="279"/>
      <c r="M109" s="279"/>
      <c r="N109" s="189"/>
      <c r="O109" s="189"/>
      <c r="P109" s="189"/>
      <c r="Q109" s="189"/>
      <c r="R109" s="194"/>
      <c r="S109" s="281"/>
      <c r="T109" s="279"/>
      <c r="U109" s="279"/>
      <c r="V109" s="189"/>
      <c r="W109" s="189"/>
      <c r="X109" s="189"/>
      <c r="Y109" s="189"/>
      <c r="Z109" s="194"/>
      <c r="AA109" s="281"/>
      <c r="AB109" s="279"/>
      <c r="AC109" s="279"/>
      <c r="AD109" s="189"/>
      <c r="AE109" s="189"/>
      <c r="AF109" s="189"/>
      <c r="AG109" s="189"/>
      <c r="AH109" s="194"/>
      <c r="AI109" s="281"/>
      <c r="AJ109" s="279"/>
      <c r="AK109" s="279"/>
      <c r="AL109" s="189"/>
      <c r="AM109" s="189"/>
      <c r="AN109" s="189"/>
      <c r="AO109" s="189"/>
      <c r="AP109" s="194"/>
      <c r="AQ109" s="281"/>
      <c r="AR109" s="279"/>
      <c r="AS109" s="279"/>
      <c r="AT109" s="189"/>
      <c r="AU109" s="189"/>
      <c r="AV109" s="189"/>
      <c r="AW109" s="189"/>
      <c r="AX109" s="194"/>
      <c r="AY109" s="281"/>
      <c r="AZ109" s="279"/>
      <c r="BA109" s="279"/>
      <c r="BB109" s="189"/>
      <c r="BC109" s="189"/>
      <c r="BD109" s="189"/>
      <c r="BE109" s="189"/>
      <c r="BF109" s="194"/>
      <c r="BG109" s="281"/>
      <c r="BH109" s="279"/>
      <c r="BI109" s="279"/>
      <c r="BJ109" s="189"/>
      <c r="BK109" s="189"/>
      <c r="BL109" s="189"/>
      <c r="BM109" s="189"/>
      <c r="BN109" s="194"/>
      <c r="BO109" s="281"/>
      <c r="BP109" s="279"/>
      <c r="BQ109" s="279"/>
      <c r="BR109" s="189"/>
      <c r="BS109" s="189"/>
      <c r="BT109" s="189"/>
      <c r="BU109" s="189"/>
      <c r="BV109" s="194"/>
      <c r="BW109" s="281"/>
      <c r="BX109" s="279"/>
      <c r="BY109" s="279"/>
      <c r="BZ109" s="189"/>
      <c r="CA109" s="189"/>
      <c r="CB109" s="189"/>
      <c r="CC109" s="189"/>
      <c r="CD109" s="194"/>
      <c r="CE109" s="281"/>
      <c r="CF109" s="279"/>
      <c r="CG109" s="279"/>
      <c r="CH109" s="189"/>
      <c r="CI109" s="189"/>
      <c r="CJ109" s="189"/>
      <c r="CK109" s="189"/>
      <c r="CL109" s="194"/>
      <c r="CM109" s="281"/>
      <c r="CN109" s="279"/>
      <c r="CO109" s="279"/>
      <c r="CP109" s="189"/>
      <c r="CQ109" s="189"/>
      <c r="CR109" s="189"/>
      <c r="CS109" s="189"/>
      <c r="CT109" s="194"/>
      <c r="CU109" s="281"/>
      <c r="CV109" s="279"/>
      <c r="CW109" s="279"/>
      <c r="CX109" s="189"/>
      <c r="CY109" s="189"/>
      <c r="CZ109" s="189"/>
      <c r="DA109" s="189"/>
      <c r="DB109" s="194"/>
      <c r="DC109" s="281"/>
      <c r="DD109" s="279"/>
      <c r="DE109" s="279"/>
      <c r="DF109" s="189"/>
      <c r="DG109" s="189"/>
      <c r="DH109" s="189"/>
      <c r="DI109" s="189"/>
      <c r="DJ109" s="194"/>
      <c r="DK109" s="281"/>
      <c r="DL109" s="279"/>
      <c r="DM109" s="279"/>
      <c r="DN109" s="189"/>
      <c r="DO109" s="189"/>
      <c r="DP109" s="189"/>
      <c r="DQ109" s="189"/>
      <c r="DR109" s="194"/>
      <c r="DS109" s="281"/>
      <c r="DT109" s="279"/>
      <c r="DU109" s="279"/>
      <c r="DV109" s="189"/>
      <c r="DW109" s="189"/>
      <c r="DX109" s="189"/>
      <c r="DY109" s="189"/>
      <c r="DZ109" s="194"/>
      <c r="EA109" s="281"/>
      <c r="EB109" s="279"/>
      <c r="EC109" s="279"/>
      <c r="ED109" s="189"/>
      <c r="EE109" s="189"/>
      <c r="EF109" s="189"/>
      <c r="EG109" s="189"/>
      <c r="EH109" s="194"/>
      <c r="EI109" s="281"/>
      <c r="EJ109" s="279"/>
      <c r="EK109" s="279"/>
      <c r="EL109" s="189"/>
      <c r="EM109" s="189"/>
      <c r="EN109" s="189"/>
      <c r="EO109" s="189"/>
      <c r="EP109" s="194"/>
      <c r="EQ109" s="281"/>
      <c r="ER109" s="279"/>
      <c r="ES109" s="279"/>
      <c r="ET109" s="189"/>
      <c r="EU109" s="189"/>
      <c r="EV109" s="189"/>
      <c r="EW109" s="189"/>
      <c r="EX109" s="194"/>
      <c r="EY109" s="281"/>
      <c r="EZ109" s="279"/>
      <c r="FA109" s="279"/>
      <c r="FB109" s="189"/>
      <c r="FC109" s="189"/>
      <c r="FD109" s="189"/>
      <c r="FE109" s="189"/>
      <c r="FF109" s="194"/>
      <c r="FG109" s="281"/>
      <c r="FH109" s="279"/>
      <c r="FI109" s="279"/>
      <c r="FJ109" s="189"/>
      <c r="FK109" s="189"/>
      <c r="FL109" s="189"/>
      <c r="FM109" s="189"/>
      <c r="FN109" s="194"/>
      <c r="FO109" s="281"/>
      <c r="FP109" s="279"/>
      <c r="FQ109" s="279"/>
      <c r="FR109" s="189"/>
      <c r="FS109" s="189"/>
      <c r="FT109" s="189"/>
      <c r="FU109" s="189"/>
      <c r="FV109" s="194"/>
      <c r="FW109" s="281"/>
      <c r="FX109" s="279"/>
      <c r="FY109" s="279"/>
      <c r="FZ109" s="189"/>
      <c r="GA109" s="189"/>
      <c r="GB109" s="189"/>
      <c r="GC109" s="189"/>
      <c r="GD109" s="194"/>
      <c r="GE109" s="281"/>
      <c r="GF109" s="279"/>
      <c r="GG109" s="279"/>
      <c r="GH109" s="189"/>
      <c r="GI109" s="189"/>
      <c r="GJ109" s="189"/>
      <c r="GK109" s="189"/>
      <c r="GL109" s="194"/>
      <c r="GM109" s="281"/>
      <c r="GN109" s="279"/>
      <c r="GO109" s="279"/>
      <c r="GP109" s="189"/>
      <c r="GQ109" s="189"/>
      <c r="GR109" s="189"/>
      <c r="GS109" s="189"/>
      <c r="GT109" s="194"/>
      <c r="GU109" s="281"/>
      <c r="GV109" s="279"/>
      <c r="GW109" s="279"/>
      <c r="GX109" s="189"/>
      <c r="GY109" s="189"/>
      <c r="GZ109" s="189"/>
      <c r="HA109" s="189"/>
      <c r="HB109" s="194"/>
      <c r="HC109" s="281"/>
      <c r="HD109" s="279"/>
      <c r="HE109" s="279"/>
      <c r="HF109" s="189"/>
      <c r="HG109" s="189"/>
      <c r="HH109" s="189"/>
      <c r="HI109" s="189"/>
      <c r="HJ109" s="194"/>
      <c r="HK109" s="281"/>
      <c r="HL109" s="279"/>
      <c r="HM109" s="279"/>
      <c r="HN109" s="189"/>
      <c r="HO109" s="189"/>
      <c r="HP109" s="189"/>
      <c r="HQ109" s="189"/>
      <c r="HR109" s="194"/>
      <c r="HS109" s="281"/>
      <c r="HT109" s="279"/>
      <c r="HU109" s="279"/>
      <c r="HV109" s="189"/>
      <c r="HW109" s="189"/>
      <c r="HX109" s="189"/>
      <c r="HY109" s="189"/>
      <c r="HZ109" s="194"/>
      <c r="IA109" s="281"/>
      <c r="IB109" s="279"/>
      <c r="IC109" s="279"/>
      <c r="ID109" s="189"/>
      <c r="IE109" s="189"/>
      <c r="IF109" s="189"/>
      <c r="IG109" s="189"/>
      <c r="IH109" s="194"/>
      <c r="II109" s="281"/>
      <c r="IJ109" s="279"/>
      <c r="IK109" s="279"/>
      <c r="IL109" s="189"/>
      <c r="IM109" s="189"/>
      <c r="IN109" s="189"/>
      <c r="IO109" s="189"/>
    </row>
    <row r="110" spans="1:249" s="188" customFormat="1" ht="12.75">
      <c r="A110" s="227"/>
      <c r="B110" s="47" t="s">
        <v>413</v>
      </c>
      <c r="C110" s="290"/>
      <c r="D110" s="289"/>
      <c r="E110" s="247"/>
      <c r="F110" s="247"/>
      <c r="G110" s="289">
        <f>SUM(G97:G109)</f>
        <v>3357</v>
      </c>
      <c r="H110" s="207">
        <f>SUM(H97:H109)</f>
        <v>67615.5225180821</v>
      </c>
      <c r="I110" s="207"/>
      <c r="J110" s="212"/>
      <c r="K110" s="281"/>
      <c r="L110" s="279"/>
      <c r="M110" s="279"/>
      <c r="N110" s="189"/>
      <c r="O110" s="189"/>
      <c r="P110" s="189"/>
      <c r="Q110" s="189"/>
      <c r="R110" s="194"/>
      <c r="S110" s="281"/>
      <c r="T110" s="279"/>
      <c r="U110" s="279"/>
      <c r="V110" s="189"/>
      <c r="W110" s="189"/>
      <c r="X110" s="189"/>
      <c r="Y110" s="189"/>
      <c r="Z110" s="194"/>
      <c r="AA110" s="281"/>
      <c r="AB110" s="279"/>
      <c r="AC110" s="279"/>
      <c r="AD110" s="189"/>
      <c r="AE110" s="189"/>
      <c r="AF110" s="189"/>
      <c r="AG110" s="189"/>
      <c r="AH110" s="194"/>
      <c r="AI110" s="281"/>
      <c r="AJ110" s="279"/>
      <c r="AK110" s="279"/>
      <c r="AL110" s="189"/>
      <c r="AM110" s="189"/>
      <c r="AN110" s="189"/>
      <c r="AO110" s="189"/>
      <c r="AP110" s="194"/>
      <c r="AQ110" s="281"/>
      <c r="AR110" s="279"/>
      <c r="AS110" s="279"/>
      <c r="AT110" s="189"/>
      <c r="AU110" s="189"/>
      <c r="AV110" s="189"/>
      <c r="AW110" s="189"/>
      <c r="AX110" s="194"/>
      <c r="AY110" s="281"/>
      <c r="AZ110" s="279"/>
      <c r="BA110" s="279"/>
      <c r="BB110" s="189"/>
      <c r="BC110" s="189"/>
      <c r="BD110" s="189"/>
      <c r="BE110" s="189"/>
      <c r="BF110" s="194"/>
      <c r="BG110" s="281"/>
      <c r="BH110" s="279"/>
      <c r="BI110" s="279"/>
      <c r="BJ110" s="189"/>
      <c r="BK110" s="189"/>
      <c r="BL110" s="189"/>
      <c r="BM110" s="189"/>
      <c r="BN110" s="194"/>
      <c r="BO110" s="281"/>
      <c r="BP110" s="279"/>
      <c r="BQ110" s="279"/>
      <c r="BR110" s="189"/>
      <c r="BS110" s="189"/>
      <c r="BT110" s="189"/>
      <c r="BU110" s="189"/>
      <c r="BV110" s="194"/>
      <c r="BW110" s="281"/>
      <c r="BX110" s="279"/>
      <c r="BY110" s="279"/>
      <c r="BZ110" s="189"/>
      <c r="CA110" s="189"/>
      <c r="CB110" s="189"/>
      <c r="CC110" s="189"/>
      <c r="CD110" s="194"/>
      <c r="CE110" s="281"/>
      <c r="CF110" s="279"/>
      <c r="CG110" s="279"/>
      <c r="CH110" s="189"/>
      <c r="CI110" s="189"/>
      <c r="CJ110" s="189"/>
      <c r="CK110" s="189"/>
      <c r="CL110" s="194"/>
      <c r="CM110" s="281"/>
      <c r="CN110" s="279"/>
      <c r="CO110" s="279"/>
      <c r="CP110" s="189"/>
      <c r="CQ110" s="189"/>
      <c r="CR110" s="189"/>
      <c r="CS110" s="189"/>
      <c r="CT110" s="194"/>
      <c r="CU110" s="281"/>
      <c r="CV110" s="279"/>
      <c r="CW110" s="279"/>
      <c r="CX110" s="189"/>
      <c r="CY110" s="189"/>
      <c r="CZ110" s="189"/>
      <c r="DA110" s="189"/>
      <c r="DB110" s="194"/>
      <c r="DC110" s="281"/>
      <c r="DD110" s="279"/>
      <c r="DE110" s="279"/>
      <c r="DF110" s="189"/>
      <c r="DG110" s="189"/>
      <c r="DH110" s="189"/>
      <c r="DI110" s="189"/>
      <c r="DJ110" s="194"/>
      <c r="DK110" s="281"/>
      <c r="DL110" s="279"/>
      <c r="DM110" s="279"/>
      <c r="DN110" s="189"/>
      <c r="DO110" s="189"/>
      <c r="DP110" s="189"/>
      <c r="DQ110" s="189"/>
      <c r="DR110" s="194"/>
      <c r="DS110" s="281"/>
      <c r="DT110" s="279"/>
      <c r="DU110" s="279"/>
      <c r="DV110" s="189"/>
      <c r="DW110" s="189"/>
      <c r="DX110" s="189"/>
      <c r="DY110" s="189"/>
      <c r="DZ110" s="194"/>
      <c r="EA110" s="281"/>
      <c r="EB110" s="279"/>
      <c r="EC110" s="279"/>
      <c r="ED110" s="189"/>
      <c r="EE110" s="189"/>
      <c r="EF110" s="189"/>
      <c r="EG110" s="189"/>
      <c r="EH110" s="194"/>
      <c r="EI110" s="281"/>
      <c r="EJ110" s="279"/>
      <c r="EK110" s="279"/>
      <c r="EL110" s="189"/>
      <c r="EM110" s="189"/>
      <c r="EN110" s="189"/>
      <c r="EO110" s="189"/>
      <c r="EP110" s="194"/>
      <c r="EQ110" s="281"/>
      <c r="ER110" s="279"/>
      <c r="ES110" s="279"/>
      <c r="ET110" s="189"/>
      <c r="EU110" s="189"/>
      <c r="EV110" s="189"/>
      <c r="EW110" s="189"/>
      <c r="EX110" s="194"/>
      <c r="EY110" s="281"/>
      <c r="EZ110" s="279"/>
      <c r="FA110" s="279"/>
      <c r="FB110" s="189"/>
      <c r="FC110" s="189"/>
      <c r="FD110" s="189"/>
      <c r="FE110" s="189"/>
      <c r="FF110" s="194"/>
      <c r="FG110" s="281"/>
      <c r="FH110" s="279"/>
      <c r="FI110" s="279"/>
      <c r="FJ110" s="189"/>
      <c r="FK110" s="189"/>
      <c r="FL110" s="189"/>
      <c r="FM110" s="189"/>
      <c r="FN110" s="194"/>
      <c r="FO110" s="281"/>
      <c r="FP110" s="279"/>
      <c r="FQ110" s="279"/>
      <c r="FR110" s="189"/>
      <c r="FS110" s="189"/>
      <c r="FT110" s="189"/>
      <c r="FU110" s="189"/>
      <c r="FV110" s="194"/>
      <c r="FW110" s="281"/>
      <c r="FX110" s="279"/>
      <c r="FY110" s="279"/>
      <c r="FZ110" s="189"/>
      <c r="GA110" s="189"/>
      <c r="GB110" s="189"/>
      <c r="GC110" s="189"/>
      <c r="GD110" s="194"/>
      <c r="GE110" s="281"/>
      <c r="GF110" s="279"/>
      <c r="GG110" s="279"/>
      <c r="GH110" s="189"/>
      <c r="GI110" s="189"/>
      <c r="GJ110" s="189"/>
      <c r="GK110" s="189"/>
      <c r="GL110" s="194"/>
      <c r="GM110" s="281"/>
      <c r="GN110" s="279"/>
      <c r="GO110" s="279"/>
      <c r="GP110" s="189"/>
      <c r="GQ110" s="189"/>
      <c r="GR110" s="189"/>
      <c r="GS110" s="189"/>
      <c r="GT110" s="194"/>
      <c r="GU110" s="281"/>
      <c r="GV110" s="279"/>
      <c r="GW110" s="279"/>
      <c r="GX110" s="189"/>
      <c r="GY110" s="189"/>
      <c r="GZ110" s="189"/>
      <c r="HA110" s="189"/>
      <c r="HB110" s="194"/>
      <c r="HC110" s="281"/>
      <c r="HD110" s="279"/>
      <c r="HE110" s="279"/>
      <c r="HF110" s="189"/>
      <c r="HG110" s="189"/>
      <c r="HH110" s="189"/>
      <c r="HI110" s="189"/>
      <c r="HJ110" s="194"/>
      <c r="HK110" s="281"/>
      <c r="HL110" s="279"/>
      <c r="HM110" s="279"/>
      <c r="HN110" s="189"/>
      <c r="HO110" s="189"/>
      <c r="HP110" s="189"/>
      <c r="HQ110" s="189"/>
      <c r="HR110" s="194"/>
      <c r="HS110" s="281"/>
      <c r="HT110" s="279"/>
      <c r="HU110" s="279"/>
      <c r="HV110" s="189"/>
      <c r="HW110" s="189"/>
      <c r="HX110" s="189"/>
      <c r="HY110" s="189"/>
      <c r="HZ110" s="194"/>
      <c r="IA110" s="281"/>
      <c r="IB110" s="279"/>
      <c r="IC110" s="279"/>
      <c r="ID110" s="189"/>
      <c r="IE110" s="189"/>
      <c r="IF110" s="189"/>
      <c r="IG110" s="189"/>
      <c r="IH110" s="194"/>
      <c r="II110" s="281"/>
      <c r="IJ110" s="279"/>
      <c r="IK110" s="279"/>
      <c r="IL110" s="189"/>
      <c r="IM110" s="189"/>
      <c r="IN110" s="189"/>
      <c r="IO110" s="189"/>
    </row>
    <row r="111" spans="1:249" s="188" customFormat="1" ht="12.75">
      <c r="A111" s="227"/>
      <c r="B111" s="93" t="s">
        <v>523</v>
      </c>
      <c r="C111" s="224"/>
      <c r="D111" s="210"/>
      <c r="E111" s="247"/>
      <c r="F111" s="247"/>
      <c r="G111" s="289">
        <f>G86+G95+G110</f>
        <v>39258.450119999994</v>
      </c>
      <c r="H111" s="288">
        <f>H86+H95+H110</f>
        <v>790730.0024169981</v>
      </c>
      <c r="I111" s="288"/>
      <c r="J111" s="212"/>
      <c r="K111" s="281"/>
      <c r="L111" s="279"/>
      <c r="M111" s="279"/>
      <c r="N111" s="189"/>
      <c r="O111" s="189"/>
      <c r="P111" s="189"/>
      <c r="Q111" s="189"/>
      <c r="R111" s="194"/>
      <c r="S111" s="281"/>
      <c r="T111" s="279"/>
      <c r="U111" s="279"/>
      <c r="V111" s="189"/>
      <c r="W111" s="189"/>
      <c r="X111" s="189"/>
      <c r="Y111" s="189"/>
      <c r="Z111" s="194"/>
      <c r="AA111" s="281"/>
      <c r="AB111" s="279"/>
      <c r="AC111" s="279"/>
      <c r="AD111" s="189"/>
      <c r="AE111" s="189"/>
      <c r="AF111" s="189"/>
      <c r="AG111" s="189"/>
      <c r="AH111" s="194"/>
      <c r="AI111" s="281"/>
      <c r="AJ111" s="279"/>
      <c r="AK111" s="279"/>
      <c r="AL111" s="189"/>
      <c r="AM111" s="189"/>
      <c r="AN111" s="189"/>
      <c r="AO111" s="189"/>
      <c r="AP111" s="194"/>
      <c r="AQ111" s="281"/>
      <c r="AR111" s="279"/>
      <c r="AS111" s="279"/>
      <c r="AT111" s="189"/>
      <c r="AU111" s="189"/>
      <c r="AV111" s="189"/>
      <c r="AW111" s="189"/>
      <c r="AX111" s="194"/>
      <c r="AY111" s="281"/>
      <c r="AZ111" s="279"/>
      <c r="BA111" s="279"/>
      <c r="BB111" s="189"/>
      <c r="BC111" s="189"/>
      <c r="BD111" s="189"/>
      <c r="BE111" s="189"/>
      <c r="BF111" s="194"/>
      <c r="BG111" s="281"/>
      <c r="BH111" s="279"/>
      <c r="BI111" s="279"/>
      <c r="BJ111" s="189"/>
      <c r="BK111" s="189"/>
      <c r="BL111" s="189"/>
      <c r="BM111" s="189"/>
      <c r="BN111" s="194"/>
      <c r="BO111" s="281"/>
      <c r="BP111" s="279"/>
      <c r="BQ111" s="279"/>
      <c r="BR111" s="189"/>
      <c r="BS111" s="189"/>
      <c r="BT111" s="189"/>
      <c r="BU111" s="189"/>
      <c r="BV111" s="194"/>
      <c r="BW111" s="281"/>
      <c r="BX111" s="279"/>
      <c r="BY111" s="279"/>
      <c r="BZ111" s="189"/>
      <c r="CA111" s="189"/>
      <c r="CB111" s="189"/>
      <c r="CC111" s="189"/>
      <c r="CD111" s="194"/>
      <c r="CE111" s="281"/>
      <c r="CF111" s="279"/>
      <c r="CG111" s="279"/>
      <c r="CH111" s="189"/>
      <c r="CI111" s="189"/>
      <c r="CJ111" s="189"/>
      <c r="CK111" s="189"/>
      <c r="CL111" s="194"/>
      <c r="CM111" s="281"/>
      <c r="CN111" s="279"/>
      <c r="CO111" s="279"/>
      <c r="CP111" s="189"/>
      <c r="CQ111" s="189"/>
      <c r="CR111" s="189"/>
      <c r="CS111" s="189"/>
      <c r="CT111" s="194"/>
      <c r="CU111" s="281"/>
      <c r="CV111" s="279"/>
      <c r="CW111" s="279"/>
      <c r="CX111" s="189"/>
      <c r="CY111" s="189"/>
      <c r="CZ111" s="189"/>
      <c r="DA111" s="189"/>
      <c r="DB111" s="194"/>
      <c r="DC111" s="281"/>
      <c r="DD111" s="279"/>
      <c r="DE111" s="279"/>
      <c r="DF111" s="189"/>
      <c r="DG111" s="189"/>
      <c r="DH111" s="189"/>
      <c r="DI111" s="189"/>
      <c r="DJ111" s="194"/>
      <c r="DK111" s="281"/>
      <c r="DL111" s="279"/>
      <c r="DM111" s="279"/>
      <c r="DN111" s="189"/>
      <c r="DO111" s="189"/>
      <c r="DP111" s="189"/>
      <c r="DQ111" s="189"/>
      <c r="DR111" s="194"/>
      <c r="DS111" s="281"/>
      <c r="DT111" s="279"/>
      <c r="DU111" s="279"/>
      <c r="DV111" s="189"/>
      <c r="DW111" s="189"/>
      <c r="DX111" s="189"/>
      <c r="DY111" s="189"/>
      <c r="DZ111" s="194"/>
      <c r="EA111" s="281"/>
      <c r="EB111" s="279"/>
      <c r="EC111" s="279"/>
      <c r="ED111" s="189"/>
      <c r="EE111" s="189"/>
      <c r="EF111" s="189"/>
      <c r="EG111" s="189"/>
      <c r="EH111" s="194"/>
      <c r="EI111" s="281"/>
      <c r="EJ111" s="279"/>
      <c r="EK111" s="279"/>
      <c r="EL111" s="189"/>
      <c r="EM111" s="189"/>
      <c r="EN111" s="189"/>
      <c r="EO111" s="189"/>
      <c r="EP111" s="194"/>
      <c r="EQ111" s="281"/>
      <c r="ER111" s="279"/>
      <c r="ES111" s="279"/>
      <c r="ET111" s="189"/>
      <c r="EU111" s="189"/>
      <c r="EV111" s="189"/>
      <c r="EW111" s="189"/>
      <c r="EX111" s="194"/>
      <c r="EY111" s="281"/>
      <c r="EZ111" s="279"/>
      <c r="FA111" s="279"/>
      <c r="FB111" s="189"/>
      <c r="FC111" s="189"/>
      <c r="FD111" s="189"/>
      <c r="FE111" s="189"/>
      <c r="FF111" s="194"/>
      <c r="FG111" s="281"/>
      <c r="FH111" s="279"/>
      <c r="FI111" s="279"/>
      <c r="FJ111" s="189"/>
      <c r="FK111" s="189"/>
      <c r="FL111" s="189"/>
      <c r="FM111" s="189"/>
      <c r="FN111" s="194"/>
      <c r="FO111" s="281"/>
      <c r="FP111" s="279"/>
      <c r="FQ111" s="279"/>
      <c r="FR111" s="189"/>
      <c r="FS111" s="189"/>
      <c r="FT111" s="189"/>
      <c r="FU111" s="189"/>
      <c r="FV111" s="194"/>
      <c r="FW111" s="281"/>
      <c r="FX111" s="279"/>
      <c r="FY111" s="279"/>
      <c r="FZ111" s="189"/>
      <c r="GA111" s="189"/>
      <c r="GB111" s="189"/>
      <c r="GC111" s="189"/>
      <c r="GD111" s="194"/>
      <c r="GE111" s="281"/>
      <c r="GF111" s="279"/>
      <c r="GG111" s="279"/>
      <c r="GH111" s="189"/>
      <c r="GI111" s="189"/>
      <c r="GJ111" s="189"/>
      <c r="GK111" s="189"/>
      <c r="GL111" s="194"/>
      <c r="GM111" s="281"/>
      <c r="GN111" s="279"/>
      <c r="GO111" s="279"/>
      <c r="GP111" s="189"/>
      <c r="GQ111" s="189"/>
      <c r="GR111" s="189"/>
      <c r="GS111" s="189"/>
      <c r="GT111" s="194"/>
      <c r="GU111" s="281"/>
      <c r="GV111" s="279"/>
      <c r="GW111" s="279"/>
      <c r="GX111" s="189"/>
      <c r="GY111" s="189"/>
      <c r="GZ111" s="189"/>
      <c r="HA111" s="189"/>
      <c r="HB111" s="194"/>
      <c r="HC111" s="281"/>
      <c r="HD111" s="279"/>
      <c r="HE111" s="279"/>
      <c r="HF111" s="189"/>
      <c r="HG111" s="189"/>
      <c r="HH111" s="189"/>
      <c r="HI111" s="189"/>
      <c r="HJ111" s="194"/>
      <c r="HK111" s="281"/>
      <c r="HL111" s="279"/>
      <c r="HM111" s="279"/>
      <c r="HN111" s="189"/>
      <c r="HO111" s="189"/>
      <c r="HP111" s="189"/>
      <c r="HQ111" s="189"/>
      <c r="HR111" s="194"/>
      <c r="HS111" s="281"/>
      <c r="HT111" s="279"/>
      <c r="HU111" s="279"/>
      <c r="HV111" s="189"/>
      <c r="HW111" s="189"/>
      <c r="HX111" s="189"/>
      <c r="HY111" s="189"/>
      <c r="HZ111" s="194"/>
      <c r="IA111" s="281"/>
      <c r="IB111" s="279"/>
      <c r="IC111" s="279"/>
      <c r="ID111" s="189"/>
      <c r="IE111" s="189"/>
      <c r="IF111" s="189"/>
      <c r="IG111" s="189"/>
      <c r="IH111" s="194"/>
      <c r="II111" s="281"/>
      <c r="IJ111" s="279"/>
      <c r="IK111" s="279"/>
      <c r="IL111" s="189"/>
      <c r="IM111" s="189"/>
      <c r="IN111" s="189"/>
      <c r="IO111" s="189"/>
    </row>
    <row r="112" spans="1:249" s="188" customFormat="1" ht="12.75">
      <c r="A112" s="227">
        <v>23</v>
      </c>
      <c r="B112" s="47" t="s">
        <v>241</v>
      </c>
      <c r="C112" s="212"/>
      <c r="D112" s="212"/>
      <c r="E112" s="215"/>
      <c r="F112" s="215"/>
      <c r="G112" s="287">
        <f>G113+G114+G115+G116+G117+G118+G119+G120+G121</f>
        <v>239</v>
      </c>
      <c r="H112" s="286">
        <f>H113+H114+H115+H116+H117+H118+H119+H120+H121</f>
        <v>6426</v>
      </c>
      <c r="I112" s="286">
        <f>I113+I114+I115+I116+I117+I118+I119+I120+I121</f>
        <v>5139.5</v>
      </c>
      <c r="J112" s="227"/>
      <c r="K112" s="281"/>
      <c r="L112" s="279"/>
      <c r="M112" s="279"/>
      <c r="N112" s="189"/>
      <c r="O112" s="189"/>
      <c r="P112" s="190"/>
      <c r="Q112" s="189"/>
      <c r="R112" s="194"/>
      <c r="S112" s="281"/>
      <c r="T112" s="279"/>
      <c r="U112" s="279"/>
      <c r="V112" s="189"/>
      <c r="W112" s="189"/>
      <c r="X112" s="190"/>
      <c r="Y112" s="189"/>
      <c r="Z112" s="194"/>
      <c r="AA112" s="281"/>
      <c r="AB112" s="279"/>
      <c r="AC112" s="279"/>
      <c r="AD112" s="189"/>
      <c r="AE112" s="189"/>
      <c r="AF112" s="190"/>
      <c r="AG112" s="189"/>
      <c r="AH112" s="194"/>
      <c r="AI112" s="281"/>
      <c r="AJ112" s="279"/>
      <c r="AK112" s="279"/>
      <c r="AL112" s="189"/>
      <c r="AM112" s="189"/>
      <c r="AN112" s="190"/>
      <c r="AO112" s="189"/>
      <c r="AP112" s="194"/>
      <c r="AQ112" s="281"/>
      <c r="AR112" s="279"/>
      <c r="AS112" s="279"/>
      <c r="AT112" s="189"/>
      <c r="AU112" s="189"/>
      <c r="AV112" s="190"/>
      <c r="AW112" s="189"/>
      <c r="AX112" s="194"/>
      <c r="AY112" s="281"/>
      <c r="AZ112" s="279"/>
      <c r="BA112" s="279"/>
      <c r="BB112" s="189"/>
      <c r="BC112" s="189"/>
      <c r="BD112" s="190"/>
      <c r="BE112" s="189"/>
      <c r="BF112" s="194"/>
      <c r="BG112" s="281"/>
      <c r="BH112" s="279"/>
      <c r="BI112" s="279"/>
      <c r="BJ112" s="189"/>
      <c r="BK112" s="189"/>
      <c r="BL112" s="190"/>
      <c r="BM112" s="189"/>
      <c r="BN112" s="194"/>
      <c r="BO112" s="281"/>
      <c r="BP112" s="279"/>
      <c r="BQ112" s="279"/>
      <c r="BR112" s="189"/>
      <c r="BS112" s="189"/>
      <c r="BT112" s="190"/>
      <c r="BU112" s="189"/>
      <c r="BV112" s="194"/>
      <c r="BW112" s="281"/>
      <c r="BX112" s="279"/>
      <c r="BY112" s="279"/>
      <c r="BZ112" s="189"/>
      <c r="CA112" s="189"/>
      <c r="CB112" s="190"/>
      <c r="CC112" s="189"/>
      <c r="CD112" s="194"/>
      <c r="CE112" s="281"/>
      <c r="CF112" s="279"/>
      <c r="CG112" s="279"/>
      <c r="CH112" s="189"/>
      <c r="CI112" s="189"/>
      <c r="CJ112" s="190"/>
      <c r="CK112" s="189"/>
      <c r="CL112" s="194"/>
      <c r="CM112" s="281"/>
      <c r="CN112" s="279"/>
      <c r="CO112" s="279"/>
      <c r="CP112" s="189"/>
      <c r="CQ112" s="189"/>
      <c r="CR112" s="190"/>
      <c r="CS112" s="189"/>
      <c r="CT112" s="194"/>
      <c r="CU112" s="281"/>
      <c r="CV112" s="279"/>
      <c r="CW112" s="279"/>
      <c r="CX112" s="189"/>
      <c r="CY112" s="189"/>
      <c r="CZ112" s="190"/>
      <c r="DA112" s="189"/>
      <c r="DB112" s="194"/>
      <c r="DC112" s="281"/>
      <c r="DD112" s="279"/>
      <c r="DE112" s="279"/>
      <c r="DF112" s="189"/>
      <c r="DG112" s="189"/>
      <c r="DH112" s="190"/>
      <c r="DI112" s="189"/>
      <c r="DJ112" s="194"/>
      <c r="DK112" s="281"/>
      <c r="DL112" s="279"/>
      <c r="DM112" s="279"/>
      <c r="DN112" s="189"/>
      <c r="DO112" s="189"/>
      <c r="DP112" s="190"/>
      <c r="DQ112" s="189"/>
      <c r="DR112" s="194"/>
      <c r="DS112" s="281"/>
      <c r="DT112" s="279"/>
      <c r="DU112" s="279"/>
      <c r="DV112" s="189"/>
      <c r="DW112" s="189"/>
      <c r="DX112" s="190"/>
      <c r="DY112" s="189"/>
      <c r="DZ112" s="194"/>
      <c r="EA112" s="281"/>
      <c r="EB112" s="279"/>
      <c r="EC112" s="279"/>
      <c r="ED112" s="189"/>
      <c r="EE112" s="189"/>
      <c r="EF112" s="190"/>
      <c r="EG112" s="189"/>
      <c r="EH112" s="194"/>
      <c r="EI112" s="281"/>
      <c r="EJ112" s="279"/>
      <c r="EK112" s="279"/>
      <c r="EL112" s="189"/>
      <c r="EM112" s="189"/>
      <c r="EN112" s="190"/>
      <c r="EO112" s="189"/>
      <c r="EP112" s="194"/>
      <c r="EQ112" s="281"/>
      <c r="ER112" s="279"/>
      <c r="ES112" s="279"/>
      <c r="ET112" s="189"/>
      <c r="EU112" s="189"/>
      <c r="EV112" s="190"/>
      <c r="EW112" s="189"/>
      <c r="EX112" s="194"/>
      <c r="EY112" s="281"/>
      <c r="EZ112" s="279"/>
      <c r="FA112" s="279"/>
      <c r="FB112" s="189"/>
      <c r="FC112" s="189"/>
      <c r="FD112" s="190"/>
      <c r="FE112" s="189"/>
      <c r="FF112" s="194"/>
      <c r="FG112" s="281"/>
      <c r="FH112" s="279"/>
      <c r="FI112" s="279"/>
      <c r="FJ112" s="189"/>
      <c r="FK112" s="189"/>
      <c r="FL112" s="190"/>
      <c r="FM112" s="189"/>
      <c r="FN112" s="194"/>
      <c r="FO112" s="281"/>
      <c r="FP112" s="279"/>
      <c r="FQ112" s="279"/>
      <c r="FR112" s="189"/>
      <c r="FS112" s="189"/>
      <c r="FT112" s="190"/>
      <c r="FU112" s="189"/>
      <c r="FV112" s="194"/>
      <c r="FW112" s="281"/>
      <c r="FX112" s="279"/>
      <c r="FY112" s="279"/>
      <c r="FZ112" s="189"/>
      <c r="GA112" s="189"/>
      <c r="GB112" s="190"/>
      <c r="GC112" s="189"/>
      <c r="GD112" s="194"/>
      <c r="GE112" s="281"/>
      <c r="GF112" s="279"/>
      <c r="GG112" s="279"/>
      <c r="GH112" s="189"/>
      <c r="GI112" s="189"/>
      <c r="GJ112" s="190"/>
      <c r="GK112" s="189"/>
      <c r="GL112" s="194"/>
      <c r="GM112" s="281"/>
      <c r="GN112" s="279"/>
      <c r="GO112" s="279"/>
      <c r="GP112" s="189"/>
      <c r="GQ112" s="189"/>
      <c r="GR112" s="190"/>
      <c r="GS112" s="189"/>
      <c r="GT112" s="194"/>
      <c r="GU112" s="281"/>
      <c r="GV112" s="279"/>
      <c r="GW112" s="279"/>
      <c r="GX112" s="189"/>
      <c r="GY112" s="189"/>
      <c r="GZ112" s="190"/>
      <c r="HA112" s="189"/>
      <c r="HB112" s="194"/>
      <c r="HC112" s="281"/>
      <c r="HD112" s="279"/>
      <c r="HE112" s="279"/>
      <c r="HF112" s="189"/>
      <c r="HG112" s="189"/>
      <c r="HH112" s="190"/>
      <c r="HI112" s="189"/>
      <c r="HJ112" s="194"/>
      <c r="HK112" s="281"/>
      <c r="HL112" s="279"/>
      <c r="HM112" s="279"/>
      <c r="HN112" s="189"/>
      <c r="HO112" s="189"/>
      <c r="HP112" s="190"/>
      <c r="HQ112" s="189"/>
      <c r="HR112" s="194"/>
      <c r="HS112" s="281"/>
      <c r="HT112" s="279"/>
      <c r="HU112" s="279"/>
      <c r="HV112" s="189"/>
      <c r="HW112" s="189"/>
      <c r="HX112" s="190"/>
      <c r="HY112" s="189"/>
      <c r="HZ112" s="194"/>
      <c r="IA112" s="281"/>
      <c r="IB112" s="279"/>
      <c r="IC112" s="279"/>
      <c r="ID112" s="189"/>
      <c r="IE112" s="189"/>
      <c r="IF112" s="190"/>
      <c r="IG112" s="189"/>
      <c r="IH112" s="194"/>
      <c r="II112" s="281"/>
      <c r="IJ112" s="279"/>
      <c r="IK112" s="279"/>
      <c r="IL112" s="189"/>
      <c r="IM112" s="189"/>
      <c r="IN112" s="190"/>
      <c r="IO112" s="189"/>
    </row>
    <row r="113" spans="1:249" s="188" customFormat="1" ht="12.75">
      <c r="A113" s="227"/>
      <c r="B113" s="51" t="s">
        <v>226</v>
      </c>
      <c r="C113" s="215" t="s">
        <v>73</v>
      </c>
      <c r="D113" s="215">
        <f>68.75</f>
        <v>68.75</v>
      </c>
      <c r="E113" s="215"/>
      <c r="F113" s="215"/>
      <c r="G113" s="260"/>
      <c r="H113" s="260"/>
      <c r="I113" s="260"/>
      <c r="J113" s="215" t="s">
        <v>467</v>
      </c>
      <c r="K113" s="281"/>
      <c r="L113" s="279"/>
      <c r="M113" s="279"/>
      <c r="N113" s="189"/>
      <c r="O113" s="189"/>
      <c r="P113" s="190"/>
      <c r="Q113" s="189"/>
      <c r="R113" s="194"/>
      <c r="S113" s="281"/>
      <c r="T113" s="279"/>
      <c r="U113" s="279"/>
      <c r="V113" s="189"/>
      <c r="W113" s="189"/>
      <c r="X113" s="190"/>
      <c r="Y113" s="189"/>
      <c r="Z113" s="194"/>
      <c r="AA113" s="281"/>
      <c r="AB113" s="279"/>
      <c r="AC113" s="279"/>
      <c r="AD113" s="189"/>
      <c r="AE113" s="189"/>
      <c r="AF113" s="190"/>
      <c r="AG113" s="189"/>
      <c r="AH113" s="194"/>
      <c r="AI113" s="281"/>
      <c r="AJ113" s="279"/>
      <c r="AK113" s="279"/>
      <c r="AL113" s="189"/>
      <c r="AM113" s="189"/>
      <c r="AN113" s="190"/>
      <c r="AO113" s="189"/>
      <c r="AP113" s="194"/>
      <c r="AQ113" s="281"/>
      <c r="AR113" s="279"/>
      <c r="AS113" s="279"/>
      <c r="AT113" s="189"/>
      <c r="AU113" s="189"/>
      <c r="AV113" s="190"/>
      <c r="AW113" s="189"/>
      <c r="AX113" s="194"/>
      <c r="AY113" s="281"/>
      <c r="AZ113" s="279"/>
      <c r="BA113" s="279"/>
      <c r="BB113" s="189"/>
      <c r="BC113" s="189"/>
      <c r="BD113" s="190"/>
      <c r="BE113" s="189"/>
      <c r="BF113" s="194"/>
      <c r="BG113" s="281"/>
      <c r="BH113" s="279"/>
      <c r="BI113" s="279"/>
      <c r="BJ113" s="189"/>
      <c r="BK113" s="189"/>
      <c r="BL113" s="190"/>
      <c r="BM113" s="189"/>
      <c r="BN113" s="194"/>
      <c r="BO113" s="281"/>
      <c r="BP113" s="279"/>
      <c r="BQ113" s="279"/>
      <c r="BR113" s="189"/>
      <c r="BS113" s="189"/>
      <c r="BT113" s="190"/>
      <c r="BU113" s="189"/>
      <c r="BV113" s="194"/>
      <c r="BW113" s="281"/>
      <c r="BX113" s="279"/>
      <c r="BY113" s="279"/>
      <c r="BZ113" s="189"/>
      <c r="CA113" s="189"/>
      <c r="CB113" s="190"/>
      <c r="CC113" s="189"/>
      <c r="CD113" s="194"/>
      <c r="CE113" s="281"/>
      <c r="CF113" s="279"/>
      <c r="CG113" s="279"/>
      <c r="CH113" s="189"/>
      <c r="CI113" s="189"/>
      <c r="CJ113" s="190"/>
      <c r="CK113" s="189"/>
      <c r="CL113" s="194"/>
      <c r="CM113" s="281"/>
      <c r="CN113" s="279"/>
      <c r="CO113" s="279"/>
      <c r="CP113" s="189"/>
      <c r="CQ113" s="189"/>
      <c r="CR113" s="190"/>
      <c r="CS113" s="189"/>
      <c r="CT113" s="194"/>
      <c r="CU113" s="281"/>
      <c r="CV113" s="279"/>
      <c r="CW113" s="279"/>
      <c r="CX113" s="189"/>
      <c r="CY113" s="189"/>
      <c r="CZ113" s="190"/>
      <c r="DA113" s="189"/>
      <c r="DB113" s="194"/>
      <c r="DC113" s="281"/>
      <c r="DD113" s="279"/>
      <c r="DE113" s="279"/>
      <c r="DF113" s="189"/>
      <c r="DG113" s="189"/>
      <c r="DH113" s="190"/>
      <c r="DI113" s="189"/>
      <c r="DJ113" s="194"/>
      <c r="DK113" s="281"/>
      <c r="DL113" s="279"/>
      <c r="DM113" s="279"/>
      <c r="DN113" s="189"/>
      <c r="DO113" s="189"/>
      <c r="DP113" s="190"/>
      <c r="DQ113" s="189"/>
      <c r="DR113" s="194"/>
      <c r="DS113" s="281"/>
      <c r="DT113" s="279"/>
      <c r="DU113" s="279"/>
      <c r="DV113" s="189"/>
      <c r="DW113" s="189"/>
      <c r="DX113" s="190"/>
      <c r="DY113" s="189"/>
      <c r="DZ113" s="194"/>
      <c r="EA113" s="281"/>
      <c r="EB113" s="279"/>
      <c r="EC113" s="279"/>
      <c r="ED113" s="189"/>
      <c r="EE113" s="189"/>
      <c r="EF113" s="190"/>
      <c r="EG113" s="189"/>
      <c r="EH113" s="194"/>
      <c r="EI113" s="281"/>
      <c r="EJ113" s="279"/>
      <c r="EK113" s="279"/>
      <c r="EL113" s="189"/>
      <c r="EM113" s="189"/>
      <c r="EN113" s="190"/>
      <c r="EO113" s="189"/>
      <c r="EP113" s="194"/>
      <c r="EQ113" s="281"/>
      <c r="ER113" s="279"/>
      <c r="ES113" s="279"/>
      <c r="ET113" s="189"/>
      <c r="EU113" s="189"/>
      <c r="EV113" s="190"/>
      <c r="EW113" s="189"/>
      <c r="EX113" s="194"/>
      <c r="EY113" s="281"/>
      <c r="EZ113" s="279"/>
      <c r="FA113" s="279"/>
      <c r="FB113" s="189"/>
      <c r="FC113" s="189"/>
      <c r="FD113" s="190"/>
      <c r="FE113" s="189"/>
      <c r="FF113" s="194"/>
      <c r="FG113" s="281"/>
      <c r="FH113" s="279"/>
      <c r="FI113" s="279"/>
      <c r="FJ113" s="189"/>
      <c r="FK113" s="189"/>
      <c r="FL113" s="190"/>
      <c r="FM113" s="189"/>
      <c r="FN113" s="194"/>
      <c r="FO113" s="281"/>
      <c r="FP113" s="279"/>
      <c r="FQ113" s="279"/>
      <c r="FR113" s="189"/>
      <c r="FS113" s="189"/>
      <c r="FT113" s="190"/>
      <c r="FU113" s="189"/>
      <c r="FV113" s="194"/>
      <c r="FW113" s="281"/>
      <c r="FX113" s="279"/>
      <c r="FY113" s="279"/>
      <c r="FZ113" s="189"/>
      <c r="GA113" s="189"/>
      <c r="GB113" s="190"/>
      <c r="GC113" s="189"/>
      <c r="GD113" s="194"/>
      <c r="GE113" s="281"/>
      <c r="GF113" s="279"/>
      <c r="GG113" s="279"/>
      <c r="GH113" s="189"/>
      <c r="GI113" s="189"/>
      <c r="GJ113" s="190"/>
      <c r="GK113" s="189"/>
      <c r="GL113" s="194"/>
      <c r="GM113" s="281"/>
      <c r="GN113" s="279"/>
      <c r="GO113" s="279"/>
      <c r="GP113" s="189"/>
      <c r="GQ113" s="189"/>
      <c r="GR113" s="190"/>
      <c r="GS113" s="189"/>
      <c r="GT113" s="194"/>
      <c r="GU113" s="281"/>
      <c r="GV113" s="279"/>
      <c r="GW113" s="279"/>
      <c r="GX113" s="189"/>
      <c r="GY113" s="189"/>
      <c r="GZ113" s="190"/>
      <c r="HA113" s="189"/>
      <c r="HB113" s="194"/>
      <c r="HC113" s="281"/>
      <c r="HD113" s="279"/>
      <c r="HE113" s="279"/>
      <c r="HF113" s="189"/>
      <c r="HG113" s="189"/>
      <c r="HH113" s="190"/>
      <c r="HI113" s="189"/>
      <c r="HJ113" s="194"/>
      <c r="HK113" s="281"/>
      <c r="HL113" s="279"/>
      <c r="HM113" s="279"/>
      <c r="HN113" s="189"/>
      <c r="HO113" s="189"/>
      <c r="HP113" s="190"/>
      <c r="HQ113" s="189"/>
      <c r="HR113" s="194"/>
      <c r="HS113" s="281"/>
      <c r="HT113" s="279"/>
      <c r="HU113" s="279"/>
      <c r="HV113" s="189"/>
      <c r="HW113" s="189"/>
      <c r="HX113" s="190"/>
      <c r="HY113" s="189"/>
      <c r="HZ113" s="194"/>
      <c r="IA113" s="281"/>
      <c r="IB113" s="279"/>
      <c r="IC113" s="279"/>
      <c r="ID113" s="189"/>
      <c r="IE113" s="189"/>
      <c r="IF113" s="190"/>
      <c r="IG113" s="189"/>
      <c r="IH113" s="194"/>
      <c r="II113" s="281"/>
      <c r="IJ113" s="279"/>
      <c r="IK113" s="279"/>
      <c r="IL113" s="189"/>
      <c r="IM113" s="189"/>
      <c r="IN113" s="190"/>
      <c r="IO113" s="189"/>
    </row>
    <row r="114" spans="1:249" s="188" customFormat="1" ht="25.5">
      <c r="A114" s="227"/>
      <c r="B114" s="51" t="s">
        <v>232</v>
      </c>
      <c r="C114" s="212" t="s">
        <v>80</v>
      </c>
      <c r="D114" s="212">
        <v>60</v>
      </c>
      <c r="E114" s="215"/>
      <c r="F114" s="215"/>
      <c r="G114" s="280"/>
      <c r="H114" s="280"/>
      <c r="I114" s="280"/>
      <c r="J114" s="215" t="s">
        <v>468</v>
      </c>
      <c r="K114" s="281"/>
      <c r="L114" s="279"/>
      <c r="M114" s="279"/>
      <c r="N114" s="189"/>
      <c r="O114" s="189"/>
      <c r="P114" s="190"/>
      <c r="Q114" s="189"/>
      <c r="R114" s="194"/>
      <c r="S114" s="281"/>
      <c r="T114" s="279"/>
      <c r="U114" s="279"/>
      <c r="V114" s="189"/>
      <c r="W114" s="189"/>
      <c r="X114" s="190"/>
      <c r="Y114" s="189"/>
      <c r="Z114" s="194"/>
      <c r="AA114" s="281"/>
      <c r="AB114" s="279"/>
      <c r="AC114" s="279"/>
      <c r="AD114" s="189"/>
      <c r="AE114" s="189"/>
      <c r="AF114" s="190"/>
      <c r="AG114" s="189"/>
      <c r="AH114" s="194"/>
      <c r="AI114" s="281"/>
      <c r="AJ114" s="279"/>
      <c r="AK114" s="279"/>
      <c r="AL114" s="189"/>
      <c r="AM114" s="189"/>
      <c r="AN114" s="190"/>
      <c r="AO114" s="189"/>
      <c r="AP114" s="194"/>
      <c r="AQ114" s="281"/>
      <c r="AR114" s="279"/>
      <c r="AS114" s="279"/>
      <c r="AT114" s="189"/>
      <c r="AU114" s="189"/>
      <c r="AV114" s="190"/>
      <c r="AW114" s="189"/>
      <c r="AX114" s="194"/>
      <c r="AY114" s="281"/>
      <c r="AZ114" s="279"/>
      <c r="BA114" s="279"/>
      <c r="BB114" s="189"/>
      <c r="BC114" s="189"/>
      <c r="BD114" s="190"/>
      <c r="BE114" s="189"/>
      <c r="BF114" s="194"/>
      <c r="BG114" s="281"/>
      <c r="BH114" s="279"/>
      <c r="BI114" s="279"/>
      <c r="BJ114" s="189"/>
      <c r="BK114" s="189"/>
      <c r="BL114" s="190"/>
      <c r="BM114" s="189"/>
      <c r="BN114" s="194"/>
      <c r="BO114" s="281"/>
      <c r="BP114" s="279"/>
      <c r="BQ114" s="279"/>
      <c r="BR114" s="189"/>
      <c r="BS114" s="189"/>
      <c r="BT114" s="190"/>
      <c r="BU114" s="189"/>
      <c r="BV114" s="194"/>
      <c r="BW114" s="281"/>
      <c r="BX114" s="279"/>
      <c r="BY114" s="279"/>
      <c r="BZ114" s="189"/>
      <c r="CA114" s="189"/>
      <c r="CB114" s="190"/>
      <c r="CC114" s="189"/>
      <c r="CD114" s="194"/>
      <c r="CE114" s="281"/>
      <c r="CF114" s="279"/>
      <c r="CG114" s="279"/>
      <c r="CH114" s="189"/>
      <c r="CI114" s="189"/>
      <c r="CJ114" s="190"/>
      <c r="CK114" s="189"/>
      <c r="CL114" s="194"/>
      <c r="CM114" s="281"/>
      <c r="CN114" s="279"/>
      <c r="CO114" s="279"/>
      <c r="CP114" s="189"/>
      <c r="CQ114" s="189"/>
      <c r="CR114" s="190"/>
      <c r="CS114" s="189"/>
      <c r="CT114" s="194"/>
      <c r="CU114" s="281"/>
      <c r="CV114" s="279"/>
      <c r="CW114" s="279"/>
      <c r="CX114" s="189"/>
      <c r="CY114" s="189"/>
      <c r="CZ114" s="190"/>
      <c r="DA114" s="189"/>
      <c r="DB114" s="194"/>
      <c r="DC114" s="281"/>
      <c r="DD114" s="279"/>
      <c r="DE114" s="279"/>
      <c r="DF114" s="189"/>
      <c r="DG114" s="189"/>
      <c r="DH114" s="190"/>
      <c r="DI114" s="189"/>
      <c r="DJ114" s="194"/>
      <c r="DK114" s="281"/>
      <c r="DL114" s="279"/>
      <c r="DM114" s="279"/>
      <c r="DN114" s="189"/>
      <c r="DO114" s="189"/>
      <c r="DP114" s="190"/>
      <c r="DQ114" s="189"/>
      <c r="DR114" s="194"/>
      <c r="DS114" s="281"/>
      <c r="DT114" s="279"/>
      <c r="DU114" s="279"/>
      <c r="DV114" s="189"/>
      <c r="DW114" s="189"/>
      <c r="DX114" s="190"/>
      <c r="DY114" s="189"/>
      <c r="DZ114" s="194"/>
      <c r="EA114" s="281"/>
      <c r="EB114" s="279"/>
      <c r="EC114" s="279"/>
      <c r="ED114" s="189"/>
      <c r="EE114" s="189"/>
      <c r="EF114" s="190"/>
      <c r="EG114" s="189"/>
      <c r="EH114" s="194"/>
      <c r="EI114" s="281"/>
      <c r="EJ114" s="279"/>
      <c r="EK114" s="279"/>
      <c r="EL114" s="189"/>
      <c r="EM114" s="189"/>
      <c r="EN114" s="190"/>
      <c r="EO114" s="189"/>
      <c r="EP114" s="194"/>
      <c r="EQ114" s="281"/>
      <c r="ER114" s="279"/>
      <c r="ES114" s="279"/>
      <c r="ET114" s="189"/>
      <c r="EU114" s="189"/>
      <c r="EV114" s="190"/>
      <c r="EW114" s="189"/>
      <c r="EX114" s="194"/>
      <c r="EY114" s="281"/>
      <c r="EZ114" s="279"/>
      <c r="FA114" s="279"/>
      <c r="FB114" s="189"/>
      <c r="FC114" s="189"/>
      <c r="FD114" s="190"/>
      <c r="FE114" s="189"/>
      <c r="FF114" s="194"/>
      <c r="FG114" s="281"/>
      <c r="FH114" s="279"/>
      <c r="FI114" s="279"/>
      <c r="FJ114" s="189"/>
      <c r="FK114" s="189"/>
      <c r="FL114" s="190"/>
      <c r="FM114" s="189"/>
      <c r="FN114" s="194"/>
      <c r="FO114" s="281"/>
      <c r="FP114" s="279"/>
      <c r="FQ114" s="279"/>
      <c r="FR114" s="189"/>
      <c r="FS114" s="189"/>
      <c r="FT114" s="190"/>
      <c r="FU114" s="189"/>
      <c r="FV114" s="194"/>
      <c r="FW114" s="281"/>
      <c r="FX114" s="279"/>
      <c r="FY114" s="279"/>
      <c r="FZ114" s="189"/>
      <c r="GA114" s="189"/>
      <c r="GB114" s="190"/>
      <c r="GC114" s="189"/>
      <c r="GD114" s="194"/>
      <c r="GE114" s="281"/>
      <c r="GF114" s="279"/>
      <c r="GG114" s="279"/>
      <c r="GH114" s="189"/>
      <c r="GI114" s="189"/>
      <c r="GJ114" s="190"/>
      <c r="GK114" s="189"/>
      <c r="GL114" s="194"/>
      <c r="GM114" s="281"/>
      <c r="GN114" s="279"/>
      <c r="GO114" s="279"/>
      <c r="GP114" s="189"/>
      <c r="GQ114" s="189"/>
      <c r="GR114" s="190"/>
      <c r="GS114" s="189"/>
      <c r="GT114" s="194"/>
      <c r="GU114" s="281"/>
      <c r="GV114" s="279"/>
      <c r="GW114" s="279"/>
      <c r="GX114" s="189"/>
      <c r="GY114" s="189"/>
      <c r="GZ114" s="190"/>
      <c r="HA114" s="189"/>
      <c r="HB114" s="194"/>
      <c r="HC114" s="281"/>
      <c r="HD114" s="279"/>
      <c r="HE114" s="279"/>
      <c r="HF114" s="189"/>
      <c r="HG114" s="189"/>
      <c r="HH114" s="190"/>
      <c r="HI114" s="189"/>
      <c r="HJ114" s="194"/>
      <c r="HK114" s="281"/>
      <c r="HL114" s="279"/>
      <c r="HM114" s="279"/>
      <c r="HN114" s="189"/>
      <c r="HO114" s="189"/>
      <c r="HP114" s="190"/>
      <c r="HQ114" s="189"/>
      <c r="HR114" s="194"/>
      <c r="HS114" s="281"/>
      <c r="HT114" s="279"/>
      <c r="HU114" s="279"/>
      <c r="HV114" s="189"/>
      <c r="HW114" s="189"/>
      <c r="HX114" s="190"/>
      <c r="HY114" s="189"/>
      <c r="HZ114" s="194"/>
      <c r="IA114" s="281"/>
      <c r="IB114" s="279"/>
      <c r="IC114" s="279"/>
      <c r="ID114" s="189"/>
      <c r="IE114" s="189"/>
      <c r="IF114" s="190"/>
      <c r="IG114" s="189"/>
      <c r="IH114" s="194"/>
      <c r="II114" s="281"/>
      <c r="IJ114" s="279"/>
      <c r="IK114" s="279"/>
      <c r="IL114" s="189"/>
      <c r="IM114" s="189"/>
      <c r="IN114" s="190"/>
      <c r="IO114" s="189"/>
    </row>
    <row r="115" spans="1:249" s="188" customFormat="1" ht="25.5">
      <c r="A115" s="227"/>
      <c r="B115" s="51" t="s">
        <v>233</v>
      </c>
      <c r="C115" s="212" t="s">
        <v>53</v>
      </c>
      <c r="D115" s="212">
        <v>1.27</v>
      </c>
      <c r="E115" s="215"/>
      <c r="F115" s="215"/>
      <c r="G115" s="280"/>
      <c r="H115" s="280"/>
      <c r="I115" s="280"/>
      <c r="J115" s="215" t="s">
        <v>469</v>
      </c>
      <c r="K115" s="281"/>
      <c r="L115" s="279"/>
      <c r="M115" s="279"/>
      <c r="N115" s="189"/>
      <c r="O115" s="189"/>
      <c r="P115" s="190"/>
      <c r="Q115" s="189"/>
      <c r="R115" s="194"/>
      <c r="S115" s="281"/>
      <c r="T115" s="279"/>
      <c r="U115" s="279"/>
      <c r="V115" s="189"/>
      <c r="W115" s="189"/>
      <c r="X115" s="190"/>
      <c r="Y115" s="189"/>
      <c r="Z115" s="194"/>
      <c r="AA115" s="281"/>
      <c r="AB115" s="279"/>
      <c r="AC115" s="279"/>
      <c r="AD115" s="189"/>
      <c r="AE115" s="189"/>
      <c r="AF115" s="190"/>
      <c r="AG115" s="189"/>
      <c r="AH115" s="194"/>
      <c r="AI115" s="281"/>
      <c r="AJ115" s="279"/>
      <c r="AK115" s="279"/>
      <c r="AL115" s="189"/>
      <c r="AM115" s="189"/>
      <c r="AN115" s="190"/>
      <c r="AO115" s="189"/>
      <c r="AP115" s="194"/>
      <c r="AQ115" s="281"/>
      <c r="AR115" s="279"/>
      <c r="AS115" s="279"/>
      <c r="AT115" s="189"/>
      <c r="AU115" s="189"/>
      <c r="AV115" s="190"/>
      <c r="AW115" s="189"/>
      <c r="AX115" s="194"/>
      <c r="AY115" s="281"/>
      <c r="AZ115" s="279"/>
      <c r="BA115" s="279"/>
      <c r="BB115" s="189"/>
      <c r="BC115" s="189"/>
      <c r="BD115" s="190"/>
      <c r="BE115" s="189"/>
      <c r="BF115" s="194"/>
      <c r="BG115" s="281"/>
      <c r="BH115" s="279"/>
      <c r="BI115" s="279"/>
      <c r="BJ115" s="189"/>
      <c r="BK115" s="189"/>
      <c r="BL115" s="190"/>
      <c r="BM115" s="189"/>
      <c r="BN115" s="194"/>
      <c r="BO115" s="281"/>
      <c r="BP115" s="279"/>
      <c r="BQ115" s="279"/>
      <c r="BR115" s="189"/>
      <c r="BS115" s="189"/>
      <c r="BT115" s="190"/>
      <c r="BU115" s="189"/>
      <c r="BV115" s="194"/>
      <c r="BW115" s="281"/>
      <c r="BX115" s="279"/>
      <c r="BY115" s="279"/>
      <c r="BZ115" s="189"/>
      <c r="CA115" s="189"/>
      <c r="CB115" s="190"/>
      <c r="CC115" s="189"/>
      <c r="CD115" s="194"/>
      <c r="CE115" s="281"/>
      <c r="CF115" s="279"/>
      <c r="CG115" s="279"/>
      <c r="CH115" s="189"/>
      <c r="CI115" s="189"/>
      <c r="CJ115" s="190"/>
      <c r="CK115" s="189"/>
      <c r="CL115" s="194"/>
      <c r="CM115" s="281"/>
      <c r="CN115" s="279"/>
      <c r="CO115" s="279"/>
      <c r="CP115" s="189"/>
      <c r="CQ115" s="189"/>
      <c r="CR115" s="190"/>
      <c r="CS115" s="189"/>
      <c r="CT115" s="194"/>
      <c r="CU115" s="281"/>
      <c r="CV115" s="279"/>
      <c r="CW115" s="279"/>
      <c r="CX115" s="189"/>
      <c r="CY115" s="189"/>
      <c r="CZ115" s="190"/>
      <c r="DA115" s="189"/>
      <c r="DB115" s="194"/>
      <c r="DC115" s="281"/>
      <c r="DD115" s="279"/>
      <c r="DE115" s="279"/>
      <c r="DF115" s="189"/>
      <c r="DG115" s="189"/>
      <c r="DH115" s="190"/>
      <c r="DI115" s="189"/>
      <c r="DJ115" s="194"/>
      <c r="DK115" s="281"/>
      <c r="DL115" s="279"/>
      <c r="DM115" s="279"/>
      <c r="DN115" s="189"/>
      <c r="DO115" s="189"/>
      <c r="DP115" s="190"/>
      <c r="DQ115" s="189"/>
      <c r="DR115" s="194"/>
      <c r="DS115" s="281"/>
      <c r="DT115" s="279"/>
      <c r="DU115" s="279"/>
      <c r="DV115" s="189"/>
      <c r="DW115" s="189"/>
      <c r="DX115" s="190"/>
      <c r="DY115" s="189"/>
      <c r="DZ115" s="194"/>
      <c r="EA115" s="281"/>
      <c r="EB115" s="279"/>
      <c r="EC115" s="279"/>
      <c r="ED115" s="189"/>
      <c r="EE115" s="189"/>
      <c r="EF115" s="190"/>
      <c r="EG115" s="189"/>
      <c r="EH115" s="194"/>
      <c r="EI115" s="281"/>
      <c r="EJ115" s="279"/>
      <c r="EK115" s="279"/>
      <c r="EL115" s="189"/>
      <c r="EM115" s="189"/>
      <c r="EN115" s="190"/>
      <c r="EO115" s="189"/>
      <c r="EP115" s="194"/>
      <c r="EQ115" s="281"/>
      <c r="ER115" s="279"/>
      <c r="ES115" s="279"/>
      <c r="ET115" s="189"/>
      <c r="EU115" s="189"/>
      <c r="EV115" s="190"/>
      <c r="EW115" s="189"/>
      <c r="EX115" s="194"/>
      <c r="EY115" s="281"/>
      <c r="EZ115" s="279"/>
      <c r="FA115" s="279"/>
      <c r="FB115" s="189"/>
      <c r="FC115" s="189"/>
      <c r="FD115" s="190"/>
      <c r="FE115" s="189"/>
      <c r="FF115" s="194"/>
      <c r="FG115" s="281"/>
      <c r="FH115" s="279"/>
      <c r="FI115" s="279"/>
      <c r="FJ115" s="189"/>
      <c r="FK115" s="189"/>
      <c r="FL115" s="190"/>
      <c r="FM115" s="189"/>
      <c r="FN115" s="194"/>
      <c r="FO115" s="281"/>
      <c r="FP115" s="279"/>
      <c r="FQ115" s="279"/>
      <c r="FR115" s="189"/>
      <c r="FS115" s="189"/>
      <c r="FT115" s="190"/>
      <c r="FU115" s="189"/>
      <c r="FV115" s="194"/>
      <c r="FW115" s="281"/>
      <c r="FX115" s="279"/>
      <c r="FY115" s="279"/>
      <c r="FZ115" s="189"/>
      <c r="GA115" s="189"/>
      <c r="GB115" s="190"/>
      <c r="GC115" s="189"/>
      <c r="GD115" s="194"/>
      <c r="GE115" s="281"/>
      <c r="GF115" s="279"/>
      <c r="GG115" s="279"/>
      <c r="GH115" s="189"/>
      <c r="GI115" s="189"/>
      <c r="GJ115" s="190"/>
      <c r="GK115" s="189"/>
      <c r="GL115" s="194"/>
      <c r="GM115" s="281"/>
      <c r="GN115" s="279"/>
      <c r="GO115" s="279"/>
      <c r="GP115" s="189"/>
      <c r="GQ115" s="189"/>
      <c r="GR115" s="190"/>
      <c r="GS115" s="189"/>
      <c r="GT115" s="194"/>
      <c r="GU115" s="281"/>
      <c r="GV115" s="279"/>
      <c r="GW115" s="279"/>
      <c r="GX115" s="189"/>
      <c r="GY115" s="189"/>
      <c r="GZ115" s="190"/>
      <c r="HA115" s="189"/>
      <c r="HB115" s="194"/>
      <c r="HC115" s="281"/>
      <c r="HD115" s="279"/>
      <c r="HE115" s="279"/>
      <c r="HF115" s="189"/>
      <c r="HG115" s="189"/>
      <c r="HH115" s="190"/>
      <c r="HI115" s="189"/>
      <c r="HJ115" s="194"/>
      <c r="HK115" s="281"/>
      <c r="HL115" s="279"/>
      <c r="HM115" s="279"/>
      <c r="HN115" s="189"/>
      <c r="HO115" s="189"/>
      <c r="HP115" s="190"/>
      <c r="HQ115" s="189"/>
      <c r="HR115" s="194"/>
      <c r="HS115" s="281"/>
      <c r="HT115" s="279"/>
      <c r="HU115" s="279"/>
      <c r="HV115" s="189"/>
      <c r="HW115" s="189"/>
      <c r="HX115" s="190"/>
      <c r="HY115" s="189"/>
      <c r="HZ115" s="194"/>
      <c r="IA115" s="281"/>
      <c r="IB115" s="279"/>
      <c r="IC115" s="279"/>
      <c r="ID115" s="189"/>
      <c r="IE115" s="189"/>
      <c r="IF115" s="190"/>
      <c r="IG115" s="189"/>
      <c r="IH115" s="194"/>
      <c r="II115" s="281"/>
      <c r="IJ115" s="279"/>
      <c r="IK115" s="279"/>
      <c r="IL115" s="189"/>
      <c r="IM115" s="189"/>
      <c r="IN115" s="190"/>
      <c r="IO115" s="189"/>
    </row>
    <row r="116" spans="1:249" s="188" customFormat="1" ht="25.5">
      <c r="A116" s="227"/>
      <c r="B116" s="51" t="s">
        <v>234</v>
      </c>
      <c r="C116" s="212" t="s">
        <v>80</v>
      </c>
      <c r="D116" s="212">
        <v>165</v>
      </c>
      <c r="E116" s="215"/>
      <c r="F116" s="215"/>
      <c r="G116" s="215"/>
      <c r="H116" s="189"/>
      <c r="I116" s="215"/>
      <c r="J116" s="215" t="s">
        <v>470</v>
      </c>
      <c r="K116" s="281"/>
      <c r="L116" s="279"/>
      <c r="M116" s="279"/>
      <c r="N116" s="189"/>
      <c r="O116" s="189"/>
      <c r="P116" s="189"/>
      <c r="Q116" s="189"/>
      <c r="R116" s="194"/>
      <c r="S116" s="281"/>
      <c r="T116" s="279"/>
      <c r="U116" s="279"/>
      <c r="V116" s="189"/>
      <c r="W116" s="189"/>
      <c r="X116" s="189"/>
      <c r="Y116" s="189"/>
      <c r="Z116" s="194"/>
      <c r="AA116" s="281"/>
      <c r="AB116" s="279"/>
      <c r="AC116" s="279"/>
      <c r="AD116" s="189"/>
      <c r="AE116" s="189"/>
      <c r="AF116" s="189"/>
      <c r="AG116" s="189"/>
      <c r="AH116" s="194"/>
      <c r="AI116" s="281"/>
      <c r="AJ116" s="279"/>
      <c r="AK116" s="279"/>
      <c r="AL116" s="189"/>
      <c r="AM116" s="189"/>
      <c r="AN116" s="189"/>
      <c r="AO116" s="189"/>
      <c r="AP116" s="194"/>
      <c r="AQ116" s="281"/>
      <c r="AR116" s="279"/>
      <c r="AS116" s="279"/>
      <c r="AT116" s="189"/>
      <c r="AU116" s="189"/>
      <c r="AV116" s="189"/>
      <c r="AW116" s="189"/>
      <c r="AX116" s="194"/>
      <c r="AY116" s="281"/>
      <c r="AZ116" s="279"/>
      <c r="BA116" s="279"/>
      <c r="BB116" s="189"/>
      <c r="BC116" s="189"/>
      <c r="BD116" s="189"/>
      <c r="BE116" s="189"/>
      <c r="BF116" s="194"/>
      <c r="BG116" s="281"/>
      <c r="BH116" s="279"/>
      <c r="BI116" s="279"/>
      <c r="BJ116" s="189"/>
      <c r="BK116" s="189"/>
      <c r="BL116" s="189"/>
      <c r="BM116" s="189"/>
      <c r="BN116" s="194"/>
      <c r="BO116" s="281"/>
      <c r="BP116" s="279"/>
      <c r="BQ116" s="279"/>
      <c r="BR116" s="189"/>
      <c r="BS116" s="189"/>
      <c r="BT116" s="189"/>
      <c r="BU116" s="189"/>
      <c r="BV116" s="194"/>
      <c r="BW116" s="281"/>
      <c r="BX116" s="279"/>
      <c r="BY116" s="279"/>
      <c r="BZ116" s="189"/>
      <c r="CA116" s="189"/>
      <c r="CB116" s="189"/>
      <c r="CC116" s="189"/>
      <c r="CD116" s="194"/>
      <c r="CE116" s="281"/>
      <c r="CF116" s="279"/>
      <c r="CG116" s="279"/>
      <c r="CH116" s="189"/>
      <c r="CI116" s="189"/>
      <c r="CJ116" s="189"/>
      <c r="CK116" s="189"/>
      <c r="CL116" s="194"/>
      <c r="CM116" s="281"/>
      <c r="CN116" s="279"/>
      <c r="CO116" s="279"/>
      <c r="CP116" s="189"/>
      <c r="CQ116" s="189"/>
      <c r="CR116" s="189"/>
      <c r="CS116" s="189"/>
      <c r="CT116" s="194"/>
      <c r="CU116" s="281"/>
      <c r="CV116" s="279"/>
      <c r="CW116" s="279"/>
      <c r="CX116" s="189"/>
      <c r="CY116" s="189"/>
      <c r="CZ116" s="189"/>
      <c r="DA116" s="189"/>
      <c r="DB116" s="194"/>
      <c r="DC116" s="281"/>
      <c r="DD116" s="279"/>
      <c r="DE116" s="279"/>
      <c r="DF116" s="189"/>
      <c r="DG116" s="189"/>
      <c r="DH116" s="189"/>
      <c r="DI116" s="189"/>
      <c r="DJ116" s="194"/>
      <c r="DK116" s="281"/>
      <c r="DL116" s="279"/>
      <c r="DM116" s="279"/>
      <c r="DN116" s="189"/>
      <c r="DO116" s="189"/>
      <c r="DP116" s="189"/>
      <c r="DQ116" s="189"/>
      <c r="DR116" s="194"/>
      <c r="DS116" s="281"/>
      <c r="DT116" s="279"/>
      <c r="DU116" s="279"/>
      <c r="DV116" s="189"/>
      <c r="DW116" s="189"/>
      <c r="DX116" s="189"/>
      <c r="DY116" s="189"/>
      <c r="DZ116" s="194"/>
      <c r="EA116" s="281"/>
      <c r="EB116" s="279"/>
      <c r="EC116" s="279"/>
      <c r="ED116" s="189"/>
      <c r="EE116" s="189"/>
      <c r="EF116" s="189"/>
      <c r="EG116" s="189"/>
      <c r="EH116" s="194"/>
      <c r="EI116" s="281"/>
      <c r="EJ116" s="279"/>
      <c r="EK116" s="279"/>
      <c r="EL116" s="189"/>
      <c r="EM116" s="189"/>
      <c r="EN116" s="189"/>
      <c r="EO116" s="189"/>
      <c r="EP116" s="194"/>
      <c r="EQ116" s="281"/>
      <c r="ER116" s="279"/>
      <c r="ES116" s="279"/>
      <c r="ET116" s="189"/>
      <c r="EU116" s="189"/>
      <c r="EV116" s="189"/>
      <c r="EW116" s="189"/>
      <c r="EX116" s="194"/>
      <c r="EY116" s="281"/>
      <c r="EZ116" s="279"/>
      <c r="FA116" s="279"/>
      <c r="FB116" s="189"/>
      <c r="FC116" s="189"/>
      <c r="FD116" s="189"/>
      <c r="FE116" s="189"/>
      <c r="FF116" s="194"/>
      <c r="FG116" s="281"/>
      <c r="FH116" s="279"/>
      <c r="FI116" s="279"/>
      <c r="FJ116" s="189"/>
      <c r="FK116" s="189"/>
      <c r="FL116" s="189"/>
      <c r="FM116" s="189"/>
      <c r="FN116" s="194"/>
      <c r="FO116" s="281"/>
      <c r="FP116" s="279"/>
      <c r="FQ116" s="279"/>
      <c r="FR116" s="189"/>
      <c r="FS116" s="189"/>
      <c r="FT116" s="189"/>
      <c r="FU116" s="189"/>
      <c r="FV116" s="194"/>
      <c r="FW116" s="281"/>
      <c r="FX116" s="279"/>
      <c r="FY116" s="279"/>
      <c r="FZ116" s="189"/>
      <c r="GA116" s="189"/>
      <c r="GB116" s="189"/>
      <c r="GC116" s="189"/>
      <c r="GD116" s="194"/>
      <c r="GE116" s="281"/>
      <c r="GF116" s="279"/>
      <c r="GG116" s="279"/>
      <c r="GH116" s="189"/>
      <c r="GI116" s="189"/>
      <c r="GJ116" s="189"/>
      <c r="GK116" s="189"/>
      <c r="GL116" s="194"/>
      <c r="GM116" s="281"/>
      <c r="GN116" s="279"/>
      <c r="GO116" s="279"/>
      <c r="GP116" s="189"/>
      <c r="GQ116" s="189"/>
      <c r="GR116" s="189"/>
      <c r="GS116" s="189"/>
      <c r="GT116" s="194"/>
      <c r="GU116" s="281"/>
      <c r="GV116" s="279"/>
      <c r="GW116" s="279"/>
      <c r="GX116" s="189"/>
      <c r="GY116" s="189"/>
      <c r="GZ116" s="189"/>
      <c r="HA116" s="189"/>
      <c r="HB116" s="194"/>
      <c r="HC116" s="281"/>
      <c r="HD116" s="279"/>
      <c r="HE116" s="279"/>
      <c r="HF116" s="189"/>
      <c r="HG116" s="189"/>
      <c r="HH116" s="189"/>
      <c r="HI116" s="189"/>
      <c r="HJ116" s="194"/>
      <c r="HK116" s="281"/>
      <c r="HL116" s="279"/>
      <c r="HM116" s="279"/>
      <c r="HN116" s="189"/>
      <c r="HO116" s="189"/>
      <c r="HP116" s="189"/>
      <c r="HQ116" s="189"/>
      <c r="HR116" s="194"/>
      <c r="HS116" s="281"/>
      <c r="HT116" s="279"/>
      <c r="HU116" s="279"/>
      <c r="HV116" s="189"/>
      <c r="HW116" s="189"/>
      <c r="HX116" s="189"/>
      <c r="HY116" s="189"/>
      <c r="HZ116" s="194"/>
      <c r="IA116" s="281"/>
      <c r="IB116" s="279"/>
      <c r="IC116" s="279"/>
      <c r="ID116" s="189"/>
      <c r="IE116" s="189"/>
      <c r="IF116" s="189"/>
      <c r="IG116" s="189"/>
      <c r="IH116" s="194"/>
      <c r="II116" s="281"/>
      <c r="IJ116" s="279"/>
      <c r="IK116" s="279"/>
      <c r="IL116" s="189"/>
      <c r="IM116" s="189"/>
      <c r="IN116" s="189"/>
      <c r="IO116" s="189"/>
    </row>
    <row r="117" spans="1:249" s="188" customFormat="1" ht="25.5">
      <c r="A117" s="227"/>
      <c r="B117" s="51" t="s">
        <v>355</v>
      </c>
      <c r="C117" s="212" t="s">
        <v>80</v>
      </c>
      <c r="D117" s="212">
        <f>50+75</f>
        <v>125</v>
      </c>
      <c r="E117" s="215"/>
      <c r="F117" s="215"/>
      <c r="G117" s="215"/>
      <c r="H117" s="215"/>
      <c r="I117" s="215"/>
      <c r="J117" s="215" t="s">
        <v>471</v>
      </c>
      <c r="K117" s="281"/>
      <c r="L117" s="279"/>
      <c r="M117" s="279"/>
      <c r="N117" s="189"/>
      <c r="O117" s="189"/>
      <c r="P117" s="189"/>
      <c r="Q117" s="189"/>
      <c r="R117" s="194"/>
      <c r="S117" s="281"/>
      <c r="T117" s="279"/>
      <c r="U117" s="279"/>
      <c r="V117" s="189"/>
      <c r="W117" s="189"/>
      <c r="X117" s="189"/>
      <c r="Y117" s="189"/>
      <c r="Z117" s="194"/>
      <c r="AA117" s="281"/>
      <c r="AB117" s="279"/>
      <c r="AC117" s="279"/>
      <c r="AD117" s="189"/>
      <c r="AE117" s="189"/>
      <c r="AF117" s="189"/>
      <c r="AG117" s="189"/>
      <c r="AH117" s="194"/>
      <c r="AI117" s="281"/>
      <c r="AJ117" s="279"/>
      <c r="AK117" s="279"/>
      <c r="AL117" s="189"/>
      <c r="AM117" s="189"/>
      <c r="AN117" s="189"/>
      <c r="AO117" s="189"/>
      <c r="AP117" s="194"/>
      <c r="AQ117" s="281"/>
      <c r="AR117" s="279"/>
      <c r="AS117" s="279"/>
      <c r="AT117" s="189"/>
      <c r="AU117" s="189"/>
      <c r="AV117" s="189"/>
      <c r="AW117" s="189"/>
      <c r="AX117" s="194"/>
      <c r="AY117" s="281"/>
      <c r="AZ117" s="279"/>
      <c r="BA117" s="279"/>
      <c r="BB117" s="189"/>
      <c r="BC117" s="189"/>
      <c r="BD117" s="189"/>
      <c r="BE117" s="189"/>
      <c r="BF117" s="194"/>
      <c r="BG117" s="281"/>
      <c r="BH117" s="279"/>
      <c r="BI117" s="279"/>
      <c r="BJ117" s="189"/>
      <c r="BK117" s="189"/>
      <c r="BL117" s="189"/>
      <c r="BM117" s="189"/>
      <c r="BN117" s="194"/>
      <c r="BO117" s="281"/>
      <c r="BP117" s="279"/>
      <c r="BQ117" s="279"/>
      <c r="BR117" s="189"/>
      <c r="BS117" s="189"/>
      <c r="BT117" s="189"/>
      <c r="BU117" s="189"/>
      <c r="BV117" s="194"/>
      <c r="BW117" s="281"/>
      <c r="BX117" s="279"/>
      <c r="BY117" s="279"/>
      <c r="BZ117" s="189"/>
      <c r="CA117" s="189"/>
      <c r="CB117" s="189"/>
      <c r="CC117" s="189"/>
      <c r="CD117" s="194"/>
      <c r="CE117" s="281"/>
      <c r="CF117" s="279"/>
      <c r="CG117" s="279"/>
      <c r="CH117" s="189"/>
      <c r="CI117" s="189"/>
      <c r="CJ117" s="189"/>
      <c r="CK117" s="189"/>
      <c r="CL117" s="194"/>
      <c r="CM117" s="281"/>
      <c r="CN117" s="279"/>
      <c r="CO117" s="279"/>
      <c r="CP117" s="189"/>
      <c r="CQ117" s="189"/>
      <c r="CR117" s="189"/>
      <c r="CS117" s="189"/>
      <c r="CT117" s="194"/>
      <c r="CU117" s="281"/>
      <c r="CV117" s="279"/>
      <c r="CW117" s="279"/>
      <c r="CX117" s="189"/>
      <c r="CY117" s="189"/>
      <c r="CZ117" s="189"/>
      <c r="DA117" s="189"/>
      <c r="DB117" s="194"/>
      <c r="DC117" s="281"/>
      <c r="DD117" s="279"/>
      <c r="DE117" s="279"/>
      <c r="DF117" s="189"/>
      <c r="DG117" s="189"/>
      <c r="DH117" s="189"/>
      <c r="DI117" s="189"/>
      <c r="DJ117" s="194"/>
      <c r="DK117" s="281"/>
      <c r="DL117" s="279"/>
      <c r="DM117" s="279"/>
      <c r="DN117" s="189"/>
      <c r="DO117" s="189"/>
      <c r="DP117" s="189"/>
      <c r="DQ117" s="189"/>
      <c r="DR117" s="194"/>
      <c r="DS117" s="281"/>
      <c r="DT117" s="279"/>
      <c r="DU117" s="279"/>
      <c r="DV117" s="189"/>
      <c r="DW117" s="189"/>
      <c r="DX117" s="189"/>
      <c r="DY117" s="189"/>
      <c r="DZ117" s="194"/>
      <c r="EA117" s="281"/>
      <c r="EB117" s="279"/>
      <c r="EC117" s="279"/>
      <c r="ED117" s="189"/>
      <c r="EE117" s="189"/>
      <c r="EF117" s="189"/>
      <c r="EG117" s="189"/>
      <c r="EH117" s="194"/>
      <c r="EI117" s="281"/>
      <c r="EJ117" s="279"/>
      <c r="EK117" s="279"/>
      <c r="EL117" s="189"/>
      <c r="EM117" s="189"/>
      <c r="EN117" s="189"/>
      <c r="EO117" s="189"/>
      <c r="EP117" s="194"/>
      <c r="EQ117" s="281"/>
      <c r="ER117" s="279"/>
      <c r="ES117" s="279"/>
      <c r="ET117" s="189"/>
      <c r="EU117" s="189"/>
      <c r="EV117" s="189"/>
      <c r="EW117" s="189"/>
      <c r="EX117" s="194"/>
      <c r="EY117" s="281"/>
      <c r="EZ117" s="279"/>
      <c r="FA117" s="279"/>
      <c r="FB117" s="189"/>
      <c r="FC117" s="189"/>
      <c r="FD117" s="189"/>
      <c r="FE117" s="189"/>
      <c r="FF117" s="194"/>
      <c r="FG117" s="281"/>
      <c r="FH117" s="279"/>
      <c r="FI117" s="279"/>
      <c r="FJ117" s="189"/>
      <c r="FK117" s="189"/>
      <c r="FL117" s="189"/>
      <c r="FM117" s="189"/>
      <c r="FN117" s="194"/>
      <c r="FO117" s="281"/>
      <c r="FP117" s="279"/>
      <c r="FQ117" s="279"/>
      <c r="FR117" s="189"/>
      <c r="FS117" s="189"/>
      <c r="FT117" s="189"/>
      <c r="FU117" s="189"/>
      <c r="FV117" s="194"/>
      <c r="FW117" s="281"/>
      <c r="FX117" s="279"/>
      <c r="FY117" s="279"/>
      <c r="FZ117" s="189"/>
      <c r="GA117" s="189"/>
      <c r="GB117" s="189"/>
      <c r="GC117" s="189"/>
      <c r="GD117" s="194"/>
      <c r="GE117" s="281"/>
      <c r="GF117" s="279"/>
      <c r="GG117" s="279"/>
      <c r="GH117" s="189"/>
      <c r="GI117" s="189"/>
      <c r="GJ117" s="189"/>
      <c r="GK117" s="189"/>
      <c r="GL117" s="194"/>
      <c r="GM117" s="281"/>
      <c r="GN117" s="279"/>
      <c r="GO117" s="279"/>
      <c r="GP117" s="189"/>
      <c r="GQ117" s="189"/>
      <c r="GR117" s="189"/>
      <c r="GS117" s="189"/>
      <c r="GT117" s="194"/>
      <c r="GU117" s="281"/>
      <c r="GV117" s="279"/>
      <c r="GW117" s="279"/>
      <c r="GX117" s="189"/>
      <c r="GY117" s="189"/>
      <c r="GZ117" s="189"/>
      <c r="HA117" s="189"/>
      <c r="HB117" s="194"/>
      <c r="HC117" s="281"/>
      <c r="HD117" s="279"/>
      <c r="HE117" s="279"/>
      <c r="HF117" s="189"/>
      <c r="HG117" s="189"/>
      <c r="HH117" s="189"/>
      <c r="HI117" s="189"/>
      <c r="HJ117" s="194"/>
      <c r="HK117" s="281"/>
      <c r="HL117" s="279"/>
      <c r="HM117" s="279"/>
      <c r="HN117" s="189"/>
      <c r="HO117" s="189"/>
      <c r="HP117" s="189"/>
      <c r="HQ117" s="189"/>
      <c r="HR117" s="194"/>
      <c r="HS117" s="281"/>
      <c r="HT117" s="279"/>
      <c r="HU117" s="279"/>
      <c r="HV117" s="189"/>
      <c r="HW117" s="189"/>
      <c r="HX117" s="189"/>
      <c r="HY117" s="189"/>
      <c r="HZ117" s="194"/>
      <c r="IA117" s="281"/>
      <c r="IB117" s="279"/>
      <c r="IC117" s="279"/>
      <c r="ID117" s="189"/>
      <c r="IE117" s="189"/>
      <c r="IF117" s="189"/>
      <c r="IG117" s="189"/>
      <c r="IH117" s="194"/>
      <c r="II117" s="281"/>
      <c r="IJ117" s="279"/>
      <c r="IK117" s="279"/>
      <c r="IL117" s="189"/>
      <c r="IM117" s="189"/>
      <c r="IN117" s="189"/>
      <c r="IO117" s="189"/>
    </row>
    <row r="118" spans="1:249" s="188" customFormat="1" ht="25.5">
      <c r="A118" s="227"/>
      <c r="B118" s="51" t="s">
        <v>237</v>
      </c>
      <c r="C118" s="212" t="s">
        <v>53</v>
      </c>
      <c r="D118" s="212">
        <f>2.8+3.7</f>
        <v>6.5</v>
      </c>
      <c r="E118" s="215"/>
      <c r="F118" s="215"/>
      <c r="G118" s="261"/>
      <c r="H118" s="260"/>
      <c r="I118" s="260"/>
      <c r="J118" s="215" t="s">
        <v>472</v>
      </c>
      <c r="K118" s="281"/>
      <c r="L118" s="279"/>
      <c r="M118" s="279"/>
      <c r="N118" s="189"/>
      <c r="O118" s="189"/>
      <c r="P118" s="189"/>
      <c r="Q118" s="189"/>
      <c r="R118" s="194"/>
      <c r="S118" s="281"/>
      <c r="T118" s="279"/>
      <c r="U118" s="279"/>
      <c r="V118" s="189"/>
      <c r="W118" s="189"/>
      <c r="X118" s="189"/>
      <c r="Y118" s="189"/>
      <c r="Z118" s="194"/>
      <c r="AA118" s="281"/>
      <c r="AB118" s="279"/>
      <c r="AC118" s="279"/>
      <c r="AD118" s="189"/>
      <c r="AE118" s="189"/>
      <c r="AF118" s="189"/>
      <c r="AG118" s="189"/>
      <c r="AH118" s="194"/>
      <c r="AI118" s="281"/>
      <c r="AJ118" s="279"/>
      <c r="AK118" s="279"/>
      <c r="AL118" s="189"/>
      <c r="AM118" s="189"/>
      <c r="AN118" s="189"/>
      <c r="AO118" s="189"/>
      <c r="AP118" s="194"/>
      <c r="AQ118" s="281"/>
      <c r="AR118" s="279"/>
      <c r="AS118" s="279"/>
      <c r="AT118" s="189"/>
      <c r="AU118" s="189"/>
      <c r="AV118" s="189"/>
      <c r="AW118" s="189"/>
      <c r="AX118" s="194"/>
      <c r="AY118" s="281"/>
      <c r="AZ118" s="279"/>
      <c r="BA118" s="279"/>
      <c r="BB118" s="189"/>
      <c r="BC118" s="189"/>
      <c r="BD118" s="189"/>
      <c r="BE118" s="189"/>
      <c r="BF118" s="194"/>
      <c r="BG118" s="281"/>
      <c r="BH118" s="279"/>
      <c r="BI118" s="279"/>
      <c r="BJ118" s="189"/>
      <c r="BK118" s="189"/>
      <c r="BL118" s="189"/>
      <c r="BM118" s="189"/>
      <c r="BN118" s="194"/>
      <c r="BO118" s="281"/>
      <c r="BP118" s="279"/>
      <c r="BQ118" s="279"/>
      <c r="BR118" s="189"/>
      <c r="BS118" s="189"/>
      <c r="BT118" s="189"/>
      <c r="BU118" s="189"/>
      <c r="BV118" s="194"/>
      <c r="BW118" s="281"/>
      <c r="BX118" s="279"/>
      <c r="BY118" s="279"/>
      <c r="BZ118" s="189"/>
      <c r="CA118" s="189"/>
      <c r="CB118" s="189"/>
      <c r="CC118" s="189"/>
      <c r="CD118" s="194"/>
      <c r="CE118" s="281"/>
      <c r="CF118" s="279"/>
      <c r="CG118" s="279"/>
      <c r="CH118" s="189"/>
      <c r="CI118" s="189"/>
      <c r="CJ118" s="189"/>
      <c r="CK118" s="189"/>
      <c r="CL118" s="194"/>
      <c r="CM118" s="281"/>
      <c r="CN118" s="279"/>
      <c r="CO118" s="279"/>
      <c r="CP118" s="189"/>
      <c r="CQ118" s="189"/>
      <c r="CR118" s="189"/>
      <c r="CS118" s="189"/>
      <c r="CT118" s="194"/>
      <c r="CU118" s="281"/>
      <c r="CV118" s="279"/>
      <c r="CW118" s="279"/>
      <c r="CX118" s="189"/>
      <c r="CY118" s="189"/>
      <c r="CZ118" s="189"/>
      <c r="DA118" s="189"/>
      <c r="DB118" s="194"/>
      <c r="DC118" s="281"/>
      <c r="DD118" s="279"/>
      <c r="DE118" s="279"/>
      <c r="DF118" s="189"/>
      <c r="DG118" s="189"/>
      <c r="DH118" s="189"/>
      <c r="DI118" s="189"/>
      <c r="DJ118" s="194"/>
      <c r="DK118" s="281"/>
      <c r="DL118" s="279"/>
      <c r="DM118" s="279"/>
      <c r="DN118" s="189"/>
      <c r="DO118" s="189"/>
      <c r="DP118" s="189"/>
      <c r="DQ118" s="189"/>
      <c r="DR118" s="194"/>
      <c r="DS118" s="281"/>
      <c r="DT118" s="279"/>
      <c r="DU118" s="279"/>
      <c r="DV118" s="189"/>
      <c r="DW118" s="189"/>
      <c r="DX118" s="189"/>
      <c r="DY118" s="189"/>
      <c r="DZ118" s="194"/>
      <c r="EA118" s="281"/>
      <c r="EB118" s="279"/>
      <c r="EC118" s="279"/>
      <c r="ED118" s="189"/>
      <c r="EE118" s="189"/>
      <c r="EF118" s="189"/>
      <c r="EG118" s="189"/>
      <c r="EH118" s="194"/>
      <c r="EI118" s="281"/>
      <c r="EJ118" s="279"/>
      <c r="EK118" s="279"/>
      <c r="EL118" s="189"/>
      <c r="EM118" s="189"/>
      <c r="EN118" s="189"/>
      <c r="EO118" s="189"/>
      <c r="EP118" s="194"/>
      <c r="EQ118" s="281"/>
      <c r="ER118" s="279"/>
      <c r="ES118" s="279"/>
      <c r="ET118" s="189"/>
      <c r="EU118" s="189"/>
      <c r="EV118" s="189"/>
      <c r="EW118" s="189"/>
      <c r="EX118" s="194"/>
      <c r="EY118" s="281"/>
      <c r="EZ118" s="279"/>
      <c r="FA118" s="279"/>
      <c r="FB118" s="189"/>
      <c r="FC118" s="189"/>
      <c r="FD118" s="189"/>
      <c r="FE118" s="189"/>
      <c r="FF118" s="194"/>
      <c r="FG118" s="281"/>
      <c r="FH118" s="279"/>
      <c r="FI118" s="279"/>
      <c r="FJ118" s="189"/>
      <c r="FK118" s="189"/>
      <c r="FL118" s="189"/>
      <c r="FM118" s="189"/>
      <c r="FN118" s="194"/>
      <c r="FO118" s="281"/>
      <c r="FP118" s="279"/>
      <c r="FQ118" s="279"/>
      <c r="FR118" s="189"/>
      <c r="FS118" s="189"/>
      <c r="FT118" s="189"/>
      <c r="FU118" s="189"/>
      <c r="FV118" s="194"/>
      <c r="FW118" s="281"/>
      <c r="FX118" s="279"/>
      <c r="FY118" s="279"/>
      <c r="FZ118" s="189"/>
      <c r="GA118" s="189"/>
      <c r="GB118" s="189"/>
      <c r="GC118" s="189"/>
      <c r="GD118" s="194"/>
      <c r="GE118" s="281"/>
      <c r="GF118" s="279"/>
      <c r="GG118" s="279"/>
      <c r="GH118" s="189"/>
      <c r="GI118" s="189"/>
      <c r="GJ118" s="189"/>
      <c r="GK118" s="189"/>
      <c r="GL118" s="194"/>
      <c r="GM118" s="281"/>
      <c r="GN118" s="279"/>
      <c r="GO118" s="279"/>
      <c r="GP118" s="189"/>
      <c r="GQ118" s="189"/>
      <c r="GR118" s="189"/>
      <c r="GS118" s="189"/>
      <c r="GT118" s="194"/>
      <c r="GU118" s="281"/>
      <c r="GV118" s="279"/>
      <c r="GW118" s="279"/>
      <c r="GX118" s="189"/>
      <c r="GY118" s="189"/>
      <c r="GZ118" s="189"/>
      <c r="HA118" s="189"/>
      <c r="HB118" s="194"/>
      <c r="HC118" s="281"/>
      <c r="HD118" s="279"/>
      <c r="HE118" s="279"/>
      <c r="HF118" s="189"/>
      <c r="HG118" s="189"/>
      <c r="HH118" s="189"/>
      <c r="HI118" s="189"/>
      <c r="HJ118" s="194"/>
      <c r="HK118" s="281"/>
      <c r="HL118" s="279"/>
      <c r="HM118" s="279"/>
      <c r="HN118" s="189"/>
      <c r="HO118" s="189"/>
      <c r="HP118" s="189"/>
      <c r="HQ118" s="189"/>
      <c r="HR118" s="194"/>
      <c r="HS118" s="281"/>
      <c r="HT118" s="279"/>
      <c r="HU118" s="279"/>
      <c r="HV118" s="189"/>
      <c r="HW118" s="189"/>
      <c r="HX118" s="189"/>
      <c r="HY118" s="189"/>
      <c r="HZ118" s="194"/>
      <c r="IA118" s="281"/>
      <c r="IB118" s="279"/>
      <c r="IC118" s="279"/>
      <c r="ID118" s="189"/>
      <c r="IE118" s="189"/>
      <c r="IF118" s="189"/>
      <c r="IG118" s="189"/>
      <c r="IH118" s="194"/>
      <c r="II118" s="281"/>
      <c r="IJ118" s="279"/>
      <c r="IK118" s="279"/>
      <c r="IL118" s="189"/>
      <c r="IM118" s="189"/>
      <c r="IN118" s="189"/>
      <c r="IO118" s="189"/>
    </row>
    <row r="119" spans="1:249" s="188" customFormat="1" ht="25.5">
      <c r="A119" s="227"/>
      <c r="B119" s="51" t="s">
        <v>580</v>
      </c>
      <c r="C119" s="215" t="s">
        <v>80</v>
      </c>
      <c r="D119" s="215">
        <v>2</v>
      </c>
      <c r="E119" s="215"/>
      <c r="F119" s="215"/>
      <c r="G119" s="285">
        <f>147+34+58</f>
        <v>239</v>
      </c>
      <c r="H119" s="284">
        <f>1466+592+218+704+354+130+674+1673+615</f>
        <v>6426</v>
      </c>
      <c r="I119" s="224">
        <f>1557.5+2619+963</f>
        <v>5139.5</v>
      </c>
      <c r="J119" s="215" t="s">
        <v>473</v>
      </c>
      <c r="K119" s="281"/>
      <c r="L119" s="279"/>
      <c r="M119" s="279"/>
      <c r="N119" s="189"/>
      <c r="O119" s="189"/>
      <c r="P119" s="189"/>
      <c r="Q119" s="189"/>
      <c r="R119" s="194"/>
      <c r="S119" s="281"/>
      <c r="T119" s="279"/>
      <c r="U119" s="279"/>
      <c r="V119" s="189"/>
      <c r="W119" s="189"/>
      <c r="X119" s="189"/>
      <c r="Y119" s="189"/>
      <c r="Z119" s="194"/>
      <c r="AA119" s="281"/>
      <c r="AB119" s="279"/>
      <c r="AC119" s="279"/>
      <c r="AD119" s="189"/>
      <c r="AE119" s="189"/>
      <c r="AF119" s="189"/>
      <c r="AG119" s="189"/>
      <c r="AH119" s="194"/>
      <c r="AI119" s="281"/>
      <c r="AJ119" s="279"/>
      <c r="AK119" s="279"/>
      <c r="AL119" s="189"/>
      <c r="AM119" s="189"/>
      <c r="AN119" s="189"/>
      <c r="AO119" s="189"/>
      <c r="AP119" s="194"/>
      <c r="AQ119" s="281"/>
      <c r="AR119" s="279"/>
      <c r="AS119" s="279"/>
      <c r="AT119" s="189"/>
      <c r="AU119" s="189"/>
      <c r="AV119" s="189"/>
      <c r="AW119" s="189"/>
      <c r="AX119" s="194"/>
      <c r="AY119" s="281"/>
      <c r="AZ119" s="279"/>
      <c r="BA119" s="279"/>
      <c r="BB119" s="189"/>
      <c r="BC119" s="189"/>
      <c r="BD119" s="189"/>
      <c r="BE119" s="189"/>
      <c r="BF119" s="194"/>
      <c r="BG119" s="281"/>
      <c r="BH119" s="279"/>
      <c r="BI119" s="279"/>
      <c r="BJ119" s="189"/>
      <c r="BK119" s="189"/>
      <c r="BL119" s="189"/>
      <c r="BM119" s="189"/>
      <c r="BN119" s="194"/>
      <c r="BO119" s="281"/>
      <c r="BP119" s="279"/>
      <c r="BQ119" s="279"/>
      <c r="BR119" s="189"/>
      <c r="BS119" s="189"/>
      <c r="BT119" s="189"/>
      <c r="BU119" s="189"/>
      <c r="BV119" s="194"/>
      <c r="BW119" s="281"/>
      <c r="BX119" s="279"/>
      <c r="BY119" s="279"/>
      <c r="BZ119" s="189"/>
      <c r="CA119" s="189"/>
      <c r="CB119" s="189"/>
      <c r="CC119" s="189"/>
      <c r="CD119" s="194"/>
      <c r="CE119" s="281"/>
      <c r="CF119" s="279"/>
      <c r="CG119" s="279"/>
      <c r="CH119" s="189"/>
      <c r="CI119" s="189"/>
      <c r="CJ119" s="189"/>
      <c r="CK119" s="189"/>
      <c r="CL119" s="194"/>
      <c r="CM119" s="281"/>
      <c r="CN119" s="279"/>
      <c r="CO119" s="279"/>
      <c r="CP119" s="189"/>
      <c r="CQ119" s="189"/>
      <c r="CR119" s="189"/>
      <c r="CS119" s="189"/>
      <c r="CT119" s="194"/>
      <c r="CU119" s="281"/>
      <c r="CV119" s="279"/>
      <c r="CW119" s="279"/>
      <c r="CX119" s="189"/>
      <c r="CY119" s="189"/>
      <c r="CZ119" s="189"/>
      <c r="DA119" s="189"/>
      <c r="DB119" s="194"/>
      <c r="DC119" s="281"/>
      <c r="DD119" s="279"/>
      <c r="DE119" s="279"/>
      <c r="DF119" s="189"/>
      <c r="DG119" s="189"/>
      <c r="DH119" s="189"/>
      <c r="DI119" s="189"/>
      <c r="DJ119" s="194"/>
      <c r="DK119" s="281"/>
      <c r="DL119" s="279"/>
      <c r="DM119" s="279"/>
      <c r="DN119" s="189"/>
      <c r="DO119" s="189"/>
      <c r="DP119" s="189"/>
      <c r="DQ119" s="189"/>
      <c r="DR119" s="194"/>
      <c r="DS119" s="281"/>
      <c r="DT119" s="279"/>
      <c r="DU119" s="279"/>
      <c r="DV119" s="189"/>
      <c r="DW119" s="189"/>
      <c r="DX119" s="189"/>
      <c r="DY119" s="189"/>
      <c r="DZ119" s="194"/>
      <c r="EA119" s="281"/>
      <c r="EB119" s="279"/>
      <c r="EC119" s="279"/>
      <c r="ED119" s="189"/>
      <c r="EE119" s="189"/>
      <c r="EF119" s="189"/>
      <c r="EG119" s="189"/>
      <c r="EH119" s="194"/>
      <c r="EI119" s="281"/>
      <c r="EJ119" s="279"/>
      <c r="EK119" s="279"/>
      <c r="EL119" s="189"/>
      <c r="EM119" s="189"/>
      <c r="EN119" s="189"/>
      <c r="EO119" s="189"/>
      <c r="EP119" s="194"/>
      <c r="EQ119" s="281"/>
      <c r="ER119" s="279"/>
      <c r="ES119" s="279"/>
      <c r="ET119" s="189"/>
      <c r="EU119" s="189"/>
      <c r="EV119" s="189"/>
      <c r="EW119" s="189"/>
      <c r="EX119" s="194"/>
      <c r="EY119" s="281"/>
      <c r="EZ119" s="279"/>
      <c r="FA119" s="279"/>
      <c r="FB119" s="189"/>
      <c r="FC119" s="189"/>
      <c r="FD119" s="189"/>
      <c r="FE119" s="189"/>
      <c r="FF119" s="194"/>
      <c r="FG119" s="281"/>
      <c r="FH119" s="279"/>
      <c r="FI119" s="279"/>
      <c r="FJ119" s="189"/>
      <c r="FK119" s="189"/>
      <c r="FL119" s="189"/>
      <c r="FM119" s="189"/>
      <c r="FN119" s="194"/>
      <c r="FO119" s="281"/>
      <c r="FP119" s="279"/>
      <c r="FQ119" s="279"/>
      <c r="FR119" s="189"/>
      <c r="FS119" s="189"/>
      <c r="FT119" s="189"/>
      <c r="FU119" s="189"/>
      <c r="FV119" s="194"/>
      <c r="FW119" s="281"/>
      <c r="FX119" s="279"/>
      <c r="FY119" s="279"/>
      <c r="FZ119" s="189"/>
      <c r="GA119" s="189"/>
      <c r="GB119" s="189"/>
      <c r="GC119" s="189"/>
      <c r="GD119" s="194"/>
      <c r="GE119" s="281"/>
      <c r="GF119" s="279"/>
      <c r="GG119" s="279"/>
      <c r="GH119" s="189"/>
      <c r="GI119" s="189"/>
      <c r="GJ119" s="189"/>
      <c r="GK119" s="189"/>
      <c r="GL119" s="194"/>
      <c r="GM119" s="281"/>
      <c r="GN119" s="279"/>
      <c r="GO119" s="279"/>
      <c r="GP119" s="189"/>
      <c r="GQ119" s="189"/>
      <c r="GR119" s="189"/>
      <c r="GS119" s="189"/>
      <c r="GT119" s="194"/>
      <c r="GU119" s="281"/>
      <c r="GV119" s="279"/>
      <c r="GW119" s="279"/>
      <c r="GX119" s="189"/>
      <c r="GY119" s="189"/>
      <c r="GZ119" s="189"/>
      <c r="HA119" s="189"/>
      <c r="HB119" s="194"/>
      <c r="HC119" s="281"/>
      <c r="HD119" s="279"/>
      <c r="HE119" s="279"/>
      <c r="HF119" s="189"/>
      <c r="HG119" s="189"/>
      <c r="HH119" s="189"/>
      <c r="HI119" s="189"/>
      <c r="HJ119" s="194"/>
      <c r="HK119" s="281"/>
      <c r="HL119" s="279"/>
      <c r="HM119" s="279"/>
      <c r="HN119" s="189"/>
      <c r="HO119" s="189"/>
      <c r="HP119" s="189"/>
      <c r="HQ119" s="189"/>
      <c r="HR119" s="194"/>
      <c r="HS119" s="281"/>
      <c r="HT119" s="279"/>
      <c r="HU119" s="279"/>
      <c r="HV119" s="189"/>
      <c r="HW119" s="189"/>
      <c r="HX119" s="189"/>
      <c r="HY119" s="189"/>
      <c r="HZ119" s="194"/>
      <c r="IA119" s="281"/>
      <c r="IB119" s="279"/>
      <c r="IC119" s="279"/>
      <c r="ID119" s="189"/>
      <c r="IE119" s="189"/>
      <c r="IF119" s="189"/>
      <c r="IG119" s="189"/>
      <c r="IH119" s="194"/>
      <c r="II119" s="281"/>
      <c r="IJ119" s="279"/>
      <c r="IK119" s="279"/>
      <c r="IL119" s="189"/>
      <c r="IM119" s="189"/>
      <c r="IN119" s="189"/>
      <c r="IO119" s="189"/>
    </row>
    <row r="120" spans="1:249" s="188" customFormat="1" ht="12.75">
      <c r="A120" s="227"/>
      <c r="B120" s="51" t="s">
        <v>353</v>
      </c>
      <c r="C120" s="212" t="s">
        <v>53</v>
      </c>
      <c r="D120" s="212">
        <v>17.76</v>
      </c>
      <c r="E120" s="215"/>
      <c r="F120" s="215"/>
      <c r="G120" s="261"/>
      <c r="H120" s="260"/>
      <c r="I120" s="260"/>
      <c r="J120" s="212" t="s">
        <v>474</v>
      </c>
      <c r="K120" s="281"/>
      <c r="L120" s="279"/>
      <c r="M120" s="279"/>
      <c r="N120" s="189"/>
      <c r="O120" s="189"/>
      <c r="P120" s="189"/>
      <c r="Q120" s="189"/>
      <c r="R120" s="194"/>
      <c r="S120" s="281"/>
      <c r="T120" s="279"/>
      <c r="U120" s="279"/>
      <c r="V120" s="189"/>
      <c r="W120" s="189"/>
      <c r="X120" s="189"/>
      <c r="Y120" s="189"/>
      <c r="Z120" s="194"/>
      <c r="AA120" s="281"/>
      <c r="AB120" s="279"/>
      <c r="AC120" s="279"/>
      <c r="AD120" s="189"/>
      <c r="AE120" s="189"/>
      <c r="AF120" s="189"/>
      <c r="AG120" s="189"/>
      <c r="AH120" s="194"/>
      <c r="AI120" s="281"/>
      <c r="AJ120" s="279"/>
      <c r="AK120" s="279"/>
      <c r="AL120" s="189"/>
      <c r="AM120" s="189"/>
      <c r="AN120" s="189"/>
      <c r="AO120" s="189"/>
      <c r="AP120" s="194"/>
      <c r="AQ120" s="281"/>
      <c r="AR120" s="279"/>
      <c r="AS120" s="279"/>
      <c r="AT120" s="189"/>
      <c r="AU120" s="189"/>
      <c r="AV120" s="189"/>
      <c r="AW120" s="189"/>
      <c r="AX120" s="194"/>
      <c r="AY120" s="281"/>
      <c r="AZ120" s="279"/>
      <c r="BA120" s="279"/>
      <c r="BB120" s="189"/>
      <c r="BC120" s="189"/>
      <c r="BD120" s="189"/>
      <c r="BE120" s="189"/>
      <c r="BF120" s="194"/>
      <c r="BG120" s="281"/>
      <c r="BH120" s="279"/>
      <c r="BI120" s="279"/>
      <c r="BJ120" s="189"/>
      <c r="BK120" s="189"/>
      <c r="BL120" s="189"/>
      <c r="BM120" s="189"/>
      <c r="BN120" s="194"/>
      <c r="BO120" s="281"/>
      <c r="BP120" s="279"/>
      <c r="BQ120" s="279"/>
      <c r="BR120" s="189"/>
      <c r="BS120" s="189"/>
      <c r="BT120" s="189"/>
      <c r="BU120" s="189"/>
      <c r="BV120" s="194"/>
      <c r="BW120" s="281"/>
      <c r="BX120" s="279"/>
      <c r="BY120" s="279"/>
      <c r="BZ120" s="189"/>
      <c r="CA120" s="189"/>
      <c r="CB120" s="189"/>
      <c r="CC120" s="189"/>
      <c r="CD120" s="194"/>
      <c r="CE120" s="281"/>
      <c r="CF120" s="279"/>
      <c r="CG120" s="279"/>
      <c r="CH120" s="189"/>
      <c r="CI120" s="189"/>
      <c r="CJ120" s="189"/>
      <c r="CK120" s="189"/>
      <c r="CL120" s="194"/>
      <c r="CM120" s="281"/>
      <c r="CN120" s="279"/>
      <c r="CO120" s="279"/>
      <c r="CP120" s="189"/>
      <c r="CQ120" s="189"/>
      <c r="CR120" s="189"/>
      <c r="CS120" s="189"/>
      <c r="CT120" s="194"/>
      <c r="CU120" s="281"/>
      <c r="CV120" s="279"/>
      <c r="CW120" s="279"/>
      <c r="CX120" s="189"/>
      <c r="CY120" s="189"/>
      <c r="CZ120" s="189"/>
      <c r="DA120" s="189"/>
      <c r="DB120" s="194"/>
      <c r="DC120" s="281"/>
      <c r="DD120" s="279"/>
      <c r="DE120" s="279"/>
      <c r="DF120" s="189"/>
      <c r="DG120" s="189"/>
      <c r="DH120" s="189"/>
      <c r="DI120" s="189"/>
      <c r="DJ120" s="194"/>
      <c r="DK120" s="281"/>
      <c r="DL120" s="279"/>
      <c r="DM120" s="279"/>
      <c r="DN120" s="189"/>
      <c r="DO120" s="189"/>
      <c r="DP120" s="189"/>
      <c r="DQ120" s="189"/>
      <c r="DR120" s="194"/>
      <c r="DS120" s="281"/>
      <c r="DT120" s="279"/>
      <c r="DU120" s="279"/>
      <c r="DV120" s="189"/>
      <c r="DW120" s="189"/>
      <c r="DX120" s="189"/>
      <c r="DY120" s="189"/>
      <c r="DZ120" s="194"/>
      <c r="EA120" s="281"/>
      <c r="EB120" s="279"/>
      <c r="EC120" s="279"/>
      <c r="ED120" s="189"/>
      <c r="EE120" s="189"/>
      <c r="EF120" s="189"/>
      <c r="EG120" s="189"/>
      <c r="EH120" s="194"/>
      <c r="EI120" s="281"/>
      <c r="EJ120" s="279"/>
      <c r="EK120" s="279"/>
      <c r="EL120" s="189"/>
      <c r="EM120" s="189"/>
      <c r="EN120" s="189"/>
      <c r="EO120" s="189"/>
      <c r="EP120" s="194"/>
      <c r="EQ120" s="281"/>
      <c r="ER120" s="279"/>
      <c r="ES120" s="279"/>
      <c r="ET120" s="189"/>
      <c r="EU120" s="189"/>
      <c r="EV120" s="189"/>
      <c r="EW120" s="189"/>
      <c r="EX120" s="194"/>
      <c r="EY120" s="281"/>
      <c r="EZ120" s="279"/>
      <c r="FA120" s="279"/>
      <c r="FB120" s="189"/>
      <c r="FC120" s="189"/>
      <c r="FD120" s="189"/>
      <c r="FE120" s="189"/>
      <c r="FF120" s="194"/>
      <c r="FG120" s="281"/>
      <c r="FH120" s="279"/>
      <c r="FI120" s="279"/>
      <c r="FJ120" s="189"/>
      <c r="FK120" s="189"/>
      <c r="FL120" s="189"/>
      <c r="FM120" s="189"/>
      <c r="FN120" s="194"/>
      <c r="FO120" s="281"/>
      <c r="FP120" s="279"/>
      <c r="FQ120" s="279"/>
      <c r="FR120" s="189"/>
      <c r="FS120" s="189"/>
      <c r="FT120" s="189"/>
      <c r="FU120" s="189"/>
      <c r="FV120" s="194"/>
      <c r="FW120" s="281"/>
      <c r="FX120" s="279"/>
      <c r="FY120" s="279"/>
      <c r="FZ120" s="189"/>
      <c r="GA120" s="189"/>
      <c r="GB120" s="189"/>
      <c r="GC120" s="189"/>
      <c r="GD120" s="194"/>
      <c r="GE120" s="281"/>
      <c r="GF120" s="279"/>
      <c r="GG120" s="279"/>
      <c r="GH120" s="189"/>
      <c r="GI120" s="189"/>
      <c r="GJ120" s="189"/>
      <c r="GK120" s="189"/>
      <c r="GL120" s="194"/>
      <c r="GM120" s="281"/>
      <c r="GN120" s="279"/>
      <c r="GO120" s="279"/>
      <c r="GP120" s="189"/>
      <c r="GQ120" s="189"/>
      <c r="GR120" s="189"/>
      <c r="GS120" s="189"/>
      <c r="GT120" s="194"/>
      <c r="GU120" s="281"/>
      <c r="GV120" s="279"/>
      <c r="GW120" s="279"/>
      <c r="GX120" s="189"/>
      <c r="GY120" s="189"/>
      <c r="GZ120" s="189"/>
      <c r="HA120" s="189"/>
      <c r="HB120" s="194"/>
      <c r="HC120" s="281"/>
      <c r="HD120" s="279"/>
      <c r="HE120" s="279"/>
      <c r="HF120" s="189"/>
      <c r="HG120" s="189"/>
      <c r="HH120" s="189"/>
      <c r="HI120" s="189"/>
      <c r="HJ120" s="194"/>
      <c r="HK120" s="281"/>
      <c r="HL120" s="279"/>
      <c r="HM120" s="279"/>
      <c r="HN120" s="189"/>
      <c r="HO120" s="189"/>
      <c r="HP120" s="189"/>
      <c r="HQ120" s="189"/>
      <c r="HR120" s="194"/>
      <c r="HS120" s="281"/>
      <c r="HT120" s="279"/>
      <c r="HU120" s="279"/>
      <c r="HV120" s="189"/>
      <c r="HW120" s="189"/>
      <c r="HX120" s="189"/>
      <c r="HY120" s="189"/>
      <c r="HZ120" s="194"/>
      <c r="IA120" s="281"/>
      <c r="IB120" s="279"/>
      <c r="IC120" s="279"/>
      <c r="ID120" s="189"/>
      <c r="IE120" s="189"/>
      <c r="IF120" s="189"/>
      <c r="IG120" s="189"/>
      <c r="IH120" s="194"/>
      <c r="II120" s="281"/>
      <c r="IJ120" s="279"/>
      <c r="IK120" s="279"/>
      <c r="IL120" s="189"/>
      <c r="IM120" s="189"/>
      <c r="IN120" s="189"/>
      <c r="IO120" s="189"/>
    </row>
    <row r="121" spans="1:249" s="188" customFormat="1" ht="12.75">
      <c r="A121" s="227"/>
      <c r="B121" s="51" t="s">
        <v>354</v>
      </c>
      <c r="C121" s="212" t="s">
        <v>53</v>
      </c>
      <c r="D121" s="212">
        <f>0.25+0.24+0.15</f>
        <v>0.64</v>
      </c>
      <c r="E121" s="215"/>
      <c r="F121" s="215"/>
      <c r="G121" s="261"/>
      <c r="H121" s="260"/>
      <c r="I121" s="260"/>
      <c r="J121" s="212" t="s">
        <v>475</v>
      </c>
      <c r="K121" s="281"/>
      <c r="L121" s="279"/>
      <c r="M121" s="279"/>
      <c r="N121" s="189"/>
      <c r="O121" s="189"/>
      <c r="P121" s="189"/>
      <c r="Q121" s="189"/>
      <c r="R121" s="194"/>
      <c r="S121" s="281"/>
      <c r="T121" s="279"/>
      <c r="U121" s="279"/>
      <c r="V121" s="189"/>
      <c r="W121" s="189"/>
      <c r="X121" s="189"/>
      <c r="Y121" s="189"/>
      <c r="Z121" s="194"/>
      <c r="AA121" s="281"/>
      <c r="AB121" s="279"/>
      <c r="AC121" s="279"/>
      <c r="AD121" s="189"/>
      <c r="AE121" s="189"/>
      <c r="AF121" s="189"/>
      <c r="AG121" s="189"/>
      <c r="AH121" s="194"/>
      <c r="AI121" s="281"/>
      <c r="AJ121" s="279"/>
      <c r="AK121" s="279"/>
      <c r="AL121" s="189"/>
      <c r="AM121" s="189"/>
      <c r="AN121" s="189"/>
      <c r="AO121" s="189"/>
      <c r="AP121" s="194"/>
      <c r="AQ121" s="281"/>
      <c r="AR121" s="279"/>
      <c r="AS121" s="279"/>
      <c r="AT121" s="189"/>
      <c r="AU121" s="189"/>
      <c r="AV121" s="189"/>
      <c r="AW121" s="189"/>
      <c r="AX121" s="194"/>
      <c r="AY121" s="281"/>
      <c r="AZ121" s="279"/>
      <c r="BA121" s="279"/>
      <c r="BB121" s="189"/>
      <c r="BC121" s="189"/>
      <c r="BD121" s="189"/>
      <c r="BE121" s="189"/>
      <c r="BF121" s="194"/>
      <c r="BG121" s="281"/>
      <c r="BH121" s="279"/>
      <c r="BI121" s="279"/>
      <c r="BJ121" s="189"/>
      <c r="BK121" s="189"/>
      <c r="BL121" s="189"/>
      <c r="BM121" s="189"/>
      <c r="BN121" s="194"/>
      <c r="BO121" s="281"/>
      <c r="BP121" s="279"/>
      <c r="BQ121" s="279"/>
      <c r="BR121" s="189"/>
      <c r="BS121" s="189"/>
      <c r="BT121" s="189"/>
      <c r="BU121" s="189"/>
      <c r="BV121" s="194"/>
      <c r="BW121" s="281"/>
      <c r="BX121" s="279"/>
      <c r="BY121" s="279"/>
      <c r="BZ121" s="189"/>
      <c r="CA121" s="189"/>
      <c r="CB121" s="189"/>
      <c r="CC121" s="189"/>
      <c r="CD121" s="194"/>
      <c r="CE121" s="281"/>
      <c r="CF121" s="279"/>
      <c r="CG121" s="279"/>
      <c r="CH121" s="189"/>
      <c r="CI121" s="189"/>
      <c r="CJ121" s="189"/>
      <c r="CK121" s="189"/>
      <c r="CL121" s="194"/>
      <c r="CM121" s="281"/>
      <c r="CN121" s="279"/>
      <c r="CO121" s="279"/>
      <c r="CP121" s="189"/>
      <c r="CQ121" s="189"/>
      <c r="CR121" s="189"/>
      <c r="CS121" s="189"/>
      <c r="CT121" s="194"/>
      <c r="CU121" s="281"/>
      <c r="CV121" s="279"/>
      <c r="CW121" s="279"/>
      <c r="CX121" s="189"/>
      <c r="CY121" s="189"/>
      <c r="CZ121" s="189"/>
      <c r="DA121" s="189"/>
      <c r="DB121" s="194"/>
      <c r="DC121" s="281"/>
      <c r="DD121" s="279"/>
      <c r="DE121" s="279"/>
      <c r="DF121" s="189"/>
      <c r="DG121" s="189"/>
      <c r="DH121" s="189"/>
      <c r="DI121" s="189"/>
      <c r="DJ121" s="194"/>
      <c r="DK121" s="281"/>
      <c r="DL121" s="279"/>
      <c r="DM121" s="279"/>
      <c r="DN121" s="189"/>
      <c r="DO121" s="189"/>
      <c r="DP121" s="189"/>
      <c r="DQ121" s="189"/>
      <c r="DR121" s="194"/>
      <c r="DS121" s="281"/>
      <c r="DT121" s="279"/>
      <c r="DU121" s="279"/>
      <c r="DV121" s="189"/>
      <c r="DW121" s="189"/>
      <c r="DX121" s="189"/>
      <c r="DY121" s="189"/>
      <c r="DZ121" s="194"/>
      <c r="EA121" s="281"/>
      <c r="EB121" s="279"/>
      <c r="EC121" s="279"/>
      <c r="ED121" s="189"/>
      <c r="EE121" s="189"/>
      <c r="EF121" s="189"/>
      <c r="EG121" s="189"/>
      <c r="EH121" s="194"/>
      <c r="EI121" s="281"/>
      <c r="EJ121" s="279"/>
      <c r="EK121" s="279"/>
      <c r="EL121" s="189"/>
      <c r="EM121" s="189"/>
      <c r="EN121" s="189"/>
      <c r="EO121" s="189"/>
      <c r="EP121" s="194"/>
      <c r="EQ121" s="281"/>
      <c r="ER121" s="279"/>
      <c r="ES121" s="279"/>
      <c r="ET121" s="189"/>
      <c r="EU121" s="189"/>
      <c r="EV121" s="189"/>
      <c r="EW121" s="189"/>
      <c r="EX121" s="194"/>
      <c r="EY121" s="281"/>
      <c r="EZ121" s="279"/>
      <c r="FA121" s="279"/>
      <c r="FB121" s="189"/>
      <c r="FC121" s="189"/>
      <c r="FD121" s="189"/>
      <c r="FE121" s="189"/>
      <c r="FF121" s="194"/>
      <c r="FG121" s="281"/>
      <c r="FH121" s="279"/>
      <c r="FI121" s="279"/>
      <c r="FJ121" s="189"/>
      <c r="FK121" s="189"/>
      <c r="FL121" s="189"/>
      <c r="FM121" s="189"/>
      <c r="FN121" s="194"/>
      <c r="FO121" s="281"/>
      <c r="FP121" s="279"/>
      <c r="FQ121" s="279"/>
      <c r="FR121" s="189"/>
      <c r="FS121" s="189"/>
      <c r="FT121" s="189"/>
      <c r="FU121" s="189"/>
      <c r="FV121" s="194"/>
      <c r="FW121" s="281"/>
      <c r="FX121" s="279"/>
      <c r="FY121" s="279"/>
      <c r="FZ121" s="189"/>
      <c r="GA121" s="189"/>
      <c r="GB121" s="189"/>
      <c r="GC121" s="189"/>
      <c r="GD121" s="194"/>
      <c r="GE121" s="281"/>
      <c r="GF121" s="279"/>
      <c r="GG121" s="279"/>
      <c r="GH121" s="189"/>
      <c r="GI121" s="189"/>
      <c r="GJ121" s="189"/>
      <c r="GK121" s="189"/>
      <c r="GL121" s="194"/>
      <c r="GM121" s="281"/>
      <c r="GN121" s="279"/>
      <c r="GO121" s="279"/>
      <c r="GP121" s="189"/>
      <c r="GQ121" s="189"/>
      <c r="GR121" s="189"/>
      <c r="GS121" s="189"/>
      <c r="GT121" s="194"/>
      <c r="GU121" s="281"/>
      <c r="GV121" s="279"/>
      <c r="GW121" s="279"/>
      <c r="GX121" s="189"/>
      <c r="GY121" s="189"/>
      <c r="GZ121" s="189"/>
      <c r="HA121" s="189"/>
      <c r="HB121" s="194"/>
      <c r="HC121" s="281"/>
      <c r="HD121" s="279"/>
      <c r="HE121" s="279"/>
      <c r="HF121" s="189"/>
      <c r="HG121" s="189"/>
      <c r="HH121" s="189"/>
      <c r="HI121" s="189"/>
      <c r="HJ121" s="194"/>
      <c r="HK121" s="281"/>
      <c r="HL121" s="279"/>
      <c r="HM121" s="279"/>
      <c r="HN121" s="189"/>
      <c r="HO121" s="189"/>
      <c r="HP121" s="189"/>
      <c r="HQ121" s="189"/>
      <c r="HR121" s="194"/>
      <c r="HS121" s="281"/>
      <c r="HT121" s="279"/>
      <c r="HU121" s="279"/>
      <c r="HV121" s="189"/>
      <c r="HW121" s="189"/>
      <c r="HX121" s="189"/>
      <c r="HY121" s="189"/>
      <c r="HZ121" s="194"/>
      <c r="IA121" s="281"/>
      <c r="IB121" s="279"/>
      <c r="IC121" s="279"/>
      <c r="ID121" s="189"/>
      <c r="IE121" s="189"/>
      <c r="IF121" s="189"/>
      <c r="IG121" s="189"/>
      <c r="IH121" s="194"/>
      <c r="II121" s="281"/>
      <c r="IJ121" s="279"/>
      <c r="IK121" s="279"/>
      <c r="IL121" s="189"/>
      <c r="IM121" s="189"/>
      <c r="IN121" s="189"/>
      <c r="IO121" s="189"/>
    </row>
    <row r="122" spans="1:249" s="188" customFormat="1" ht="12.75">
      <c r="A122" s="227">
        <v>2</v>
      </c>
      <c r="B122" s="47" t="s">
        <v>228</v>
      </c>
      <c r="C122" s="212"/>
      <c r="D122" s="212"/>
      <c r="E122" s="215"/>
      <c r="F122" s="215"/>
      <c r="G122" s="207"/>
      <c r="H122" s="207">
        <f>H124+H125+H123+H127</f>
        <v>332000</v>
      </c>
      <c r="I122" s="207"/>
      <c r="J122" s="227"/>
      <c r="K122" s="281"/>
      <c r="L122" s="279"/>
      <c r="M122" s="279"/>
      <c r="N122" s="189"/>
      <c r="O122" s="189"/>
      <c r="P122" s="189"/>
      <c r="Q122" s="189"/>
      <c r="R122" s="194"/>
      <c r="S122" s="281"/>
      <c r="T122" s="279"/>
      <c r="U122" s="279"/>
      <c r="V122" s="189"/>
      <c r="W122" s="189"/>
      <c r="X122" s="189"/>
      <c r="Y122" s="189"/>
      <c r="Z122" s="194"/>
      <c r="AA122" s="281"/>
      <c r="AB122" s="279"/>
      <c r="AC122" s="279"/>
      <c r="AD122" s="189"/>
      <c r="AE122" s="189"/>
      <c r="AF122" s="189"/>
      <c r="AG122" s="189"/>
      <c r="AH122" s="194"/>
      <c r="AI122" s="281"/>
      <c r="AJ122" s="279"/>
      <c r="AK122" s="279"/>
      <c r="AL122" s="189"/>
      <c r="AM122" s="189"/>
      <c r="AN122" s="189"/>
      <c r="AO122" s="189"/>
      <c r="AP122" s="194"/>
      <c r="AQ122" s="281"/>
      <c r="AR122" s="279"/>
      <c r="AS122" s="279"/>
      <c r="AT122" s="189"/>
      <c r="AU122" s="189"/>
      <c r="AV122" s="189"/>
      <c r="AW122" s="189"/>
      <c r="AX122" s="194"/>
      <c r="AY122" s="281"/>
      <c r="AZ122" s="279"/>
      <c r="BA122" s="279"/>
      <c r="BB122" s="189"/>
      <c r="BC122" s="189"/>
      <c r="BD122" s="189"/>
      <c r="BE122" s="189"/>
      <c r="BF122" s="194"/>
      <c r="BG122" s="281"/>
      <c r="BH122" s="279"/>
      <c r="BI122" s="279"/>
      <c r="BJ122" s="189"/>
      <c r="BK122" s="189"/>
      <c r="BL122" s="189"/>
      <c r="BM122" s="189"/>
      <c r="BN122" s="194"/>
      <c r="BO122" s="281"/>
      <c r="BP122" s="279"/>
      <c r="BQ122" s="279"/>
      <c r="BR122" s="189"/>
      <c r="BS122" s="189"/>
      <c r="BT122" s="189"/>
      <c r="BU122" s="189"/>
      <c r="BV122" s="194"/>
      <c r="BW122" s="281"/>
      <c r="BX122" s="279"/>
      <c r="BY122" s="279"/>
      <c r="BZ122" s="189"/>
      <c r="CA122" s="189"/>
      <c r="CB122" s="189"/>
      <c r="CC122" s="189"/>
      <c r="CD122" s="194"/>
      <c r="CE122" s="281"/>
      <c r="CF122" s="279"/>
      <c r="CG122" s="279"/>
      <c r="CH122" s="189"/>
      <c r="CI122" s="189"/>
      <c r="CJ122" s="189"/>
      <c r="CK122" s="189"/>
      <c r="CL122" s="194"/>
      <c r="CM122" s="281"/>
      <c r="CN122" s="279"/>
      <c r="CO122" s="279"/>
      <c r="CP122" s="189"/>
      <c r="CQ122" s="189"/>
      <c r="CR122" s="189"/>
      <c r="CS122" s="189"/>
      <c r="CT122" s="194"/>
      <c r="CU122" s="281"/>
      <c r="CV122" s="279"/>
      <c r="CW122" s="279"/>
      <c r="CX122" s="189"/>
      <c r="CY122" s="189"/>
      <c r="CZ122" s="189"/>
      <c r="DA122" s="189"/>
      <c r="DB122" s="194"/>
      <c r="DC122" s="281"/>
      <c r="DD122" s="279"/>
      <c r="DE122" s="279"/>
      <c r="DF122" s="189"/>
      <c r="DG122" s="189"/>
      <c r="DH122" s="189"/>
      <c r="DI122" s="189"/>
      <c r="DJ122" s="194"/>
      <c r="DK122" s="281"/>
      <c r="DL122" s="279"/>
      <c r="DM122" s="279"/>
      <c r="DN122" s="189"/>
      <c r="DO122" s="189"/>
      <c r="DP122" s="189"/>
      <c r="DQ122" s="189"/>
      <c r="DR122" s="194"/>
      <c r="DS122" s="281"/>
      <c r="DT122" s="279"/>
      <c r="DU122" s="279"/>
      <c r="DV122" s="189"/>
      <c r="DW122" s="189"/>
      <c r="DX122" s="189"/>
      <c r="DY122" s="189"/>
      <c r="DZ122" s="194"/>
      <c r="EA122" s="281"/>
      <c r="EB122" s="279"/>
      <c r="EC122" s="279"/>
      <c r="ED122" s="189"/>
      <c r="EE122" s="189"/>
      <c r="EF122" s="189"/>
      <c r="EG122" s="189"/>
      <c r="EH122" s="194"/>
      <c r="EI122" s="281"/>
      <c r="EJ122" s="279"/>
      <c r="EK122" s="279"/>
      <c r="EL122" s="189"/>
      <c r="EM122" s="189"/>
      <c r="EN122" s="189"/>
      <c r="EO122" s="189"/>
      <c r="EP122" s="194"/>
      <c r="EQ122" s="281"/>
      <c r="ER122" s="279"/>
      <c r="ES122" s="279"/>
      <c r="ET122" s="189"/>
      <c r="EU122" s="189"/>
      <c r="EV122" s="189"/>
      <c r="EW122" s="189"/>
      <c r="EX122" s="194"/>
      <c r="EY122" s="281"/>
      <c r="EZ122" s="279"/>
      <c r="FA122" s="279"/>
      <c r="FB122" s="189"/>
      <c r="FC122" s="189"/>
      <c r="FD122" s="189"/>
      <c r="FE122" s="189"/>
      <c r="FF122" s="194"/>
      <c r="FG122" s="281"/>
      <c r="FH122" s="279"/>
      <c r="FI122" s="279"/>
      <c r="FJ122" s="189"/>
      <c r="FK122" s="189"/>
      <c r="FL122" s="189"/>
      <c r="FM122" s="189"/>
      <c r="FN122" s="194"/>
      <c r="FO122" s="281"/>
      <c r="FP122" s="279"/>
      <c r="FQ122" s="279"/>
      <c r="FR122" s="189"/>
      <c r="FS122" s="189"/>
      <c r="FT122" s="189"/>
      <c r="FU122" s="189"/>
      <c r="FV122" s="194"/>
      <c r="FW122" s="281"/>
      <c r="FX122" s="279"/>
      <c r="FY122" s="279"/>
      <c r="FZ122" s="189"/>
      <c r="GA122" s="189"/>
      <c r="GB122" s="189"/>
      <c r="GC122" s="189"/>
      <c r="GD122" s="194"/>
      <c r="GE122" s="281"/>
      <c r="GF122" s="279"/>
      <c r="GG122" s="279"/>
      <c r="GH122" s="189"/>
      <c r="GI122" s="189"/>
      <c r="GJ122" s="189"/>
      <c r="GK122" s="189"/>
      <c r="GL122" s="194"/>
      <c r="GM122" s="281"/>
      <c r="GN122" s="279"/>
      <c r="GO122" s="279"/>
      <c r="GP122" s="189"/>
      <c r="GQ122" s="189"/>
      <c r="GR122" s="189"/>
      <c r="GS122" s="189"/>
      <c r="GT122" s="194"/>
      <c r="GU122" s="281"/>
      <c r="GV122" s="279"/>
      <c r="GW122" s="279"/>
      <c r="GX122" s="189"/>
      <c r="GY122" s="189"/>
      <c r="GZ122" s="189"/>
      <c r="HA122" s="189"/>
      <c r="HB122" s="194"/>
      <c r="HC122" s="281"/>
      <c r="HD122" s="279"/>
      <c r="HE122" s="279"/>
      <c r="HF122" s="189"/>
      <c r="HG122" s="189"/>
      <c r="HH122" s="189"/>
      <c r="HI122" s="189"/>
      <c r="HJ122" s="194"/>
      <c r="HK122" s="281"/>
      <c r="HL122" s="279"/>
      <c r="HM122" s="279"/>
      <c r="HN122" s="189"/>
      <c r="HO122" s="189"/>
      <c r="HP122" s="189"/>
      <c r="HQ122" s="189"/>
      <c r="HR122" s="194"/>
      <c r="HS122" s="281"/>
      <c r="HT122" s="279"/>
      <c r="HU122" s="279"/>
      <c r="HV122" s="189"/>
      <c r="HW122" s="189"/>
      <c r="HX122" s="189"/>
      <c r="HY122" s="189"/>
      <c r="HZ122" s="194"/>
      <c r="IA122" s="281"/>
      <c r="IB122" s="279"/>
      <c r="IC122" s="279"/>
      <c r="ID122" s="189"/>
      <c r="IE122" s="189"/>
      <c r="IF122" s="189"/>
      <c r="IG122" s="189"/>
      <c r="IH122" s="194"/>
      <c r="II122" s="281"/>
      <c r="IJ122" s="279"/>
      <c r="IK122" s="279"/>
      <c r="IL122" s="189"/>
      <c r="IM122" s="189"/>
      <c r="IN122" s="189"/>
      <c r="IO122" s="189"/>
    </row>
    <row r="123" spans="1:249" s="188" customFormat="1" ht="12.75">
      <c r="A123" s="227">
        <v>1</v>
      </c>
      <c r="B123" s="283" t="s">
        <v>557</v>
      </c>
      <c r="C123" s="212"/>
      <c r="D123" s="212"/>
      <c r="E123" s="215"/>
      <c r="F123" s="215"/>
      <c r="G123" s="207"/>
      <c r="H123" s="218">
        <v>3000</v>
      </c>
      <c r="I123" s="218"/>
      <c r="J123" s="227"/>
      <c r="K123" s="281"/>
      <c r="L123" s="279"/>
      <c r="M123" s="279"/>
      <c r="N123" s="189"/>
      <c r="O123" s="189"/>
      <c r="P123" s="189"/>
      <c r="Q123" s="189"/>
      <c r="R123" s="194"/>
      <c r="S123" s="281"/>
      <c r="T123" s="279"/>
      <c r="U123" s="279"/>
      <c r="V123" s="189"/>
      <c r="W123" s="189"/>
      <c r="X123" s="189"/>
      <c r="Y123" s="189"/>
      <c r="Z123" s="194"/>
      <c r="AA123" s="281"/>
      <c r="AB123" s="279"/>
      <c r="AC123" s="279"/>
      <c r="AD123" s="189"/>
      <c r="AE123" s="189"/>
      <c r="AF123" s="189"/>
      <c r="AG123" s="189"/>
      <c r="AH123" s="194"/>
      <c r="AI123" s="281"/>
      <c r="AJ123" s="279"/>
      <c r="AK123" s="279"/>
      <c r="AL123" s="189"/>
      <c r="AM123" s="189"/>
      <c r="AN123" s="189"/>
      <c r="AO123" s="189"/>
      <c r="AP123" s="194"/>
      <c r="AQ123" s="281"/>
      <c r="AR123" s="279"/>
      <c r="AS123" s="279"/>
      <c r="AT123" s="189"/>
      <c r="AU123" s="189"/>
      <c r="AV123" s="189"/>
      <c r="AW123" s="189"/>
      <c r="AX123" s="194"/>
      <c r="AY123" s="281"/>
      <c r="AZ123" s="279"/>
      <c r="BA123" s="279"/>
      <c r="BB123" s="189"/>
      <c r="BC123" s="189"/>
      <c r="BD123" s="189"/>
      <c r="BE123" s="189"/>
      <c r="BF123" s="194"/>
      <c r="BG123" s="281"/>
      <c r="BH123" s="279"/>
      <c r="BI123" s="279"/>
      <c r="BJ123" s="189"/>
      <c r="BK123" s="189"/>
      <c r="BL123" s="189"/>
      <c r="BM123" s="189"/>
      <c r="BN123" s="194"/>
      <c r="BO123" s="281"/>
      <c r="BP123" s="279"/>
      <c r="BQ123" s="279"/>
      <c r="BR123" s="189"/>
      <c r="BS123" s="189"/>
      <c r="BT123" s="189"/>
      <c r="BU123" s="189"/>
      <c r="BV123" s="194"/>
      <c r="BW123" s="281"/>
      <c r="BX123" s="279"/>
      <c r="BY123" s="279"/>
      <c r="BZ123" s="189"/>
      <c r="CA123" s="189"/>
      <c r="CB123" s="189"/>
      <c r="CC123" s="189"/>
      <c r="CD123" s="194"/>
      <c r="CE123" s="281"/>
      <c r="CF123" s="279"/>
      <c r="CG123" s="279"/>
      <c r="CH123" s="189"/>
      <c r="CI123" s="189"/>
      <c r="CJ123" s="189"/>
      <c r="CK123" s="189"/>
      <c r="CL123" s="194"/>
      <c r="CM123" s="281"/>
      <c r="CN123" s="279"/>
      <c r="CO123" s="279"/>
      <c r="CP123" s="189"/>
      <c r="CQ123" s="189"/>
      <c r="CR123" s="189"/>
      <c r="CS123" s="189"/>
      <c r="CT123" s="194"/>
      <c r="CU123" s="281"/>
      <c r="CV123" s="279"/>
      <c r="CW123" s="279"/>
      <c r="CX123" s="189"/>
      <c r="CY123" s="189"/>
      <c r="CZ123" s="189"/>
      <c r="DA123" s="189"/>
      <c r="DB123" s="194"/>
      <c r="DC123" s="281"/>
      <c r="DD123" s="279"/>
      <c r="DE123" s="279"/>
      <c r="DF123" s="189"/>
      <c r="DG123" s="189"/>
      <c r="DH123" s="189"/>
      <c r="DI123" s="189"/>
      <c r="DJ123" s="194"/>
      <c r="DK123" s="281"/>
      <c r="DL123" s="279"/>
      <c r="DM123" s="279"/>
      <c r="DN123" s="189"/>
      <c r="DO123" s="189"/>
      <c r="DP123" s="189"/>
      <c r="DQ123" s="189"/>
      <c r="DR123" s="194"/>
      <c r="DS123" s="281"/>
      <c r="DT123" s="279"/>
      <c r="DU123" s="279"/>
      <c r="DV123" s="189"/>
      <c r="DW123" s="189"/>
      <c r="DX123" s="189"/>
      <c r="DY123" s="189"/>
      <c r="DZ123" s="194"/>
      <c r="EA123" s="281"/>
      <c r="EB123" s="279"/>
      <c r="EC123" s="279"/>
      <c r="ED123" s="189"/>
      <c r="EE123" s="189"/>
      <c r="EF123" s="189"/>
      <c r="EG123" s="189"/>
      <c r="EH123" s="194"/>
      <c r="EI123" s="281"/>
      <c r="EJ123" s="279"/>
      <c r="EK123" s="279"/>
      <c r="EL123" s="189"/>
      <c r="EM123" s="189"/>
      <c r="EN123" s="189"/>
      <c r="EO123" s="189"/>
      <c r="EP123" s="194"/>
      <c r="EQ123" s="281"/>
      <c r="ER123" s="279"/>
      <c r="ES123" s="279"/>
      <c r="ET123" s="189"/>
      <c r="EU123" s="189"/>
      <c r="EV123" s="189"/>
      <c r="EW123" s="189"/>
      <c r="EX123" s="194"/>
      <c r="EY123" s="281"/>
      <c r="EZ123" s="279"/>
      <c r="FA123" s="279"/>
      <c r="FB123" s="189"/>
      <c r="FC123" s="189"/>
      <c r="FD123" s="189"/>
      <c r="FE123" s="189"/>
      <c r="FF123" s="194"/>
      <c r="FG123" s="281"/>
      <c r="FH123" s="279"/>
      <c r="FI123" s="279"/>
      <c r="FJ123" s="189"/>
      <c r="FK123" s="189"/>
      <c r="FL123" s="189"/>
      <c r="FM123" s="189"/>
      <c r="FN123" s="194"/>
      <c r="FO123" s="281"/>
      <c r="FP123" s="279"/>
      <c r="FQ123" s="279"/>
      <c r="FR123" s="189"/>
      <c r="FS123" s="189"/>
      <c r="FT123" s="189"/>
      <c r="FU123" s="189"/>
      <c r="FV123" s="194"/>
      <c r="FW123" s="281"/>
      <c r="FX123" s="279"/>
      <c r="FY123" s="279"/>
      <c r="FZ123" s="189"/>
      <c r="GA123" s="189"/>
      <c r="GB123" s="189"/>
      <c r="GC123" s="189"/>
      <c r="GD123" s="194"/>
      <c r="GE123" s="281"/>
      <c r="GF123" s="279"/>
      <c r="GG123" s="279"/>
      <c r="GH123" s="189"/>
      <c r="GI123" s="189"/>
      <c r="GJ123" s="189"/>
      <c r="GK123" s="189"/>
      <c r="GL123" s="194"/>
      <c r="GM123" s="281"/>
      <c r="GN123" s="279"/>
      <c r="GO123" s="279"/>
      <c r="GP123" s="189"/>
      <c r="GQ123" s="189"/>
      <c r="GR123" s="189"/>
      <c r="GS123" s="189"/>
      <c r="GT123" s="194"/>
      <c r="GU123" s="281"/>
      <c r="GV123" s="279"/>
      <c r="GW123" s="279"/>
      <c r="GX123" s="189"/>
      <c r="GY123" s="189"/>
      <c r="GZ123" s="189"/>
      <c r="HA123" s="189"/>
      <c r="HB123" s="194"/>
      <c r="HC123" s="281"/>
      <c r="HD123" s="279"/>
      <c r="HE123" s="279"/>
      <c r="HF123" s="189"/>
      <c r="HG123" s="189"/>
      <c r="HH123" s="189"/>
      <c r="HI123" s="189"/>
      <c r="HJ123" s="194"/>
      <c r="HK123" s="281"/>
      <c r="HL123" s="279"/>
      <c r="HM123" s="279"/>
      <c r="HN123" s="189"/>
      <c r="HO123" s="189"/>
      <c r="HP123" s="189"/>
      <c r="HQ123" s="189"/>
      <c r="HR123" s="194"/>
      <c r="HS123" s="281"/>
      <c r="HT123" s="279"/>
      <c r="HU123" s="279"/>
      <c r="HV123" s="189"/>
      <c r="HW123" s="189"/>
      <c r="HX123" s="189"/>
      <c r="HY123" s="189"/>
      <c r="HZ123" s="194"/>
      <c r="IA123" s="281"/>
      <c r="IB123" s="279"/>
      <c r="IC123" s="279"/>
      <c r="ID123" s="189"/>
      <c r="IE123" s="189"/>
      <c r="IF123" s="189"/>
      <c r="IG123" s="189"/>
      <c r="IH123" s="194"/>
      <c r="II123" s="281"/>
      <c r="IJ123" s="279"/>
      <c r="IK123" s="279"/>
      <c r="IL123" s="189"/>
      <c r="IM123" s="189"/>
      <c r="IN123" s="189"/>
      <c r="IO123" s="189"/>
    </row>
    <row r="124" spans="1:249" s="188" customFormat="1" ht="12.75">
      <c r="A124" s="227">
        <v>2</v>
      </c>
      <c r="B124" s="244" t="s">
        <v>67</v>
      </c>
      <c r="C124" s="212"/>
      <c r="D124" s="212"/>
      <c r="E124" s="215"/>
      <c r="F124" s="215"/>
      <c r="G124" s="260"/>
      <c r="H124" s="223">
        <v>150000</v>
      </c>
      <c r="I124" s="223"/>
      <c r="J124" s="227"/>
      <c r="K124" s="281"/>
      <c r="L124" s="279"/>
      <c r="M124" s="279"/>
      <c r="N124" s="189"/>
      <c r="O124" s="189"/>
      <c r="P124" s="189"/>
      <c r="Q124" s="189"/>
      <c r="R124" s="194"/>
      <c r="S124" s="281"/>
      <c r="T124" s="279"/>
      <c r="U124" s="279"/>
      <c r="V124" s="189"/>
      <c r="W124" s="189"/>
      <c r="X124" s="189"/>
      <c r="Y124" s="189"/>
      <c r="Z124" s="194"/>
      <c r="AA124" s="281"/>
      <c r="AB124" s="279"/>
      <c r="AC124" s="279"/>
      <c r="AD124" s="189"/>
      <c r="AE124" s="189"/>
      <c r="AF124" s="189"/>
      <c r="AG124" s="189"/>
      <c r="AH124" s="194"/>
      <c r="AI124" s="281"/>
      <c r="AJ124" s="279"/>
      <c r="AK124" s="279"/>
      <c r="AL124" s="189"/>
      <c r="AM124" s="189"/>
      <c r="AN124" s="189"/>
      <c r="AO124" s="189"/>
      <c r="AP124" s="194"/>
      <c r="AQ124" s="281"/>
      <c r="AR124" s="279"/>
      <c r="AS124" s="279"/>
      <c r="AT124" s="189"/>
      <c r="AU124" s="189"/>
      <c r="AV124" s="189"/>
      <c r="AW124" s="189"/>
      <c r="AX124" s="194"/>
      <c r="AY124" s="281"/>
      <c r="AZ124" s="279"/>
      <c r="BA124" s="279"/>
      <c r="BB124" s="189"/>
      <c r="BC124" s="189"/>
      <c r="BD124" s="189"/>
      <c r="BE124" s="189"/>
      <c r="BF124" s="194"/>
      <c r="BG124" s="281"/>
      <c r="BH124" s="279"/>
      <c r="BI124" s="279"/>
      <c r="BJ124" s="189"/>
      <c r="BK124" s="189"/>
      <c r="BL124" s="189"/>
      <c r="BM124" s="189"/>
      <c r="BN124" s="194"/>
      <c r="BO124" s="281"/>
      <c r="BP124" s="279"/>
      <c r="BQ124" s="279"/>
      <c r="BR124" s="189"/>
      <c r="BS124" s="189"/>
      <c r="BT124" s="189"/>
      <c r="BU124" s="189"/>
      <c r="BV124" s="194"/>
      <c r="BW124" s="281"/>
      <c r="BX124" s="279"/>
      <c r="BY124" s="279"/>
      <c r="BZ124" s="189"/>
      <c r="CA124" s="189"/>
      <c r="CB124" s="189"/>
      <c r="CC124" s="189"/>
      <c r="CD124" s="194"/>
      <c r="CE124" s="281"/>
      <c r="CF124" s="279"/>
      <c r="CG124" s="279"/>
      <c r="CH124" s="189"/>
      <c r="CI124" s="189"/>
      <c r="CJ124" s="189"/>
      <c r="CK124" s="189"/>
      <c r="CL124" s="194"/>
      <c r="CM124" s="281"/>
      <c r="CN124" s="279"/>
      <c r="CO124" s="279"/>
      <c r="CP124" s="189"/>
      <c r="CQ124" s="189"/>
      <c r="CR124" s="189"/>
      <c r="CS124" s="189"/>
      <c r="CT124" s="194"/>
      <c r="CU124" s="281"/>
      <c r="CV124" s="279"/>
      <c r="CW124" s="279"/>
      <c r="CX124" s="189"/>
      <c r="CY124" s="189"/>
      <c r="CZ124" s="189"/>
      <c r="DA124" s="189"/>
      <c r="DB124" s="194"/>
      <c r="DC124" s="281"/>
      <c r="DD124" s="279"/>
      <c r="DE124" s="279"/>
      <c r="DF124" s="189"/>
      <c r="DG124" s="189"/>
      <c r="DH124" s="189"/>
      <c r="DI124" s="189"/>
      <c r="DJ124" s="194"/>
      <c r="DK124" s="281"/>
      <c r="DL124" s="279"/>
      <c r="DM124" s="279"/>
      <c r="DN124" s="189"/>
      <c r="DO124" s="189"/>
      <c r="DP124" s="189"/>
      <c r="DQ124" s="189"/>
      <c r="DR124" s="194"/>
      <c r="DS124" s="281"/>
      <c r="DT124" s="279"/>
      <c r="DU124" s="279"/>
      <c r="DV124" s="189"/>
      <c r="DW124" s="189"/>
      <c r="DX124" s="189"/>
      <c r="DY124" s="189"/>
      <c r="DZ124" s="194"/>
      <c r="EA124" s="281"/>
      <c r="EB124" s="279"/>
      <c r="EC124" s="279"/>
      <c r="ED124" s="189"/>
      <c r="EE124" s="189"/>
      <c r="EF124" s="189"/>
      <c r="EG124" s="189"/>
      <c r="EH124" s="194"/>
      <c r="EI124" s="281"/>
      <c r="EJ124" s="279"/>
      <c r="EK124" s="279"/>
      <c r="EL124" s="189"/>
      <c r="EM124" s="189"/>
      <c r="EN124" s="189"/>
      <c r="EO124" s="189"/>
      <c r="EP124" s="194"/>
      <c r="EQ124" s="281"/>
      <c r="ER124" s="279"/>
      <c r="ES124" s="279"/>
      <c r="ET124" s="189"/>
      <c r="EU124" s="189"/>
      <c r="EV124" s="189"/>
      <c r="EW124" s="189"/>
      <c r="EX124" s="194"/>
      <c r="EY124" s="281"/>
      <c r="EZ124" s="279"/>
      <c r="FA124" s="279"/>
      <c r="FB124" s="189"/>
      <c r="FC124" s="189"/>
      <c r="FD124" s="189"/>
      <c r="FE124" s="189"/>
      <c r="FF124" s="194"/>
      <c r="FG124" s="281"/>
      <c r="FH124" s="279"/>
      <c r="FI124" s="279"/>
      <c r="FJ124" s="189"/>
      <c r="FK124" s="189"/>
      <c r="FL124" s="189"/>
      <c r="FM124" s="189"/>
      <c r="FN124" s="194"/>
      <c r="FO124" s="281"/>
      <c r="FP124" s="279"/>
      <c r="FQ124" s="279"/>
      <c r="FR124" s="189"/>
      <c r="FS124" s="189"/>
      <c r="FT124" s="189"/>
      <c r="FU124" s="189"/>
      <c r="FV124" s="194"/>
      <c r="FW124" s="281"/>
      <c r="FX124" s="279"/>
      <c r="FY124" s="279"/>
      <c r="FZ124" s="189"/>
      <c r="GA124" s="189"/>
      <c r="GB124" s="189"/>
      <c r="GC124" s="189"/>
      <c r="GD124" s="194"/>
      <c r="GE124" s="281"/>
      <c r="GF124" s="279"/>
      <c r="GG124" s="279"/>
      <c r="GH124" s="189"/>
      <c r="GI124" s="189"/>
      <c r="GJ124" s="189"/>
      <c r="GK124" s="189"/>
      <c r="GL124" s="194"/>
      <c r="GM124" s="281"/>
      <c r="GN124" s="279"/>
      <c r="GO124" s="279"/>
      <c r="GP124" s="189"/>
      <c r="GQ124" s="189"/>
      <c r="GR124" s="189"/>
      <c r="GS124" s="189"/>
      <c r="GT124" s="194"/>
      <c r="GU124" s="281"/>
      <c r="GV124" s="279"/>
      <c r="GW124" s="279"/>
      <c r="GX124" s="189"/>
      <c r="GY124" s="189"/>
      <c r="GZ124" s="189"/>
      <c r="HA124" s="189"/>
      <c r="HB124" s="194"/>
      <c r="HC124" s="281"/>
      <c r="HD124" s="279"/>
      <c r="HE124" s="279"/>
      <c r="HF124" s="189"/>
      <c r="HG124" s="189"/>
      <c r="HH124" s="189"/>
      <c r="HI124" s="189"/>
      <c r="HJ124" s="194"/>
      <c r="HK124" s="281"/>
      <c r="HL124" s="279"/>
      <c r="HM124" s="279"/>
      <c r="HN124" s="189"/>
      <c r="HO124" s="189"/>
      <c r="HP124" s="189"/>
      <c r="HQ124" s="189"/>
      <c r="HR124" s="194"/>
      <c r="HS124" s="281"/>
      <c r="HT124" s="279"/>
      <c r="HU124" s="279"/>
      <c r="HV124" s="189"/>
      <c r="HW124" s="189"/>
      <c r="HX124" s="189"/>
      <c r="HY124" s="189"/>
      <c r="HZ124" s="194"/>
      <c r="IA124" s="281"/>
      <c r="IB124" s="279"/>
      <c r="IC124" s="279"/>
      <c r="ID124" s="189"/>
      <c r="IE124" s="189"/>
      <c r="IF124" s="189"/>
      <c r="IG124" s="189"/>
      <c r="IH124" s="194"/>
      <c r="II124" s="281"/>
      <c r="IJ124" s="279"/>
      <c r="IK124" s="279"/>
      <c r="IL124" s="189"/>
      <c r="IM124" s="189"/>
      <c r="IN124" s="189"/>
      <c r="IO124" s="189"/>
    </row>
    <row r="125" spans="1:249" s="188" customFormat="1" ht="12.75">
      <c r="A125" s="227">
        <v>3</v>
      </c>
      <c r="B125" s="51" t="s">
        <v>230</v>
      </c>
      <c r="C125" s="212"/>
      <c r="D125" s="212"/>
      <c r="E125" s="215"/>
      <c r="F125" s="215"/>
      <c r="G125" s="260"/>
      <c r="H125" s="223">
        <v>150000</v>
      </c>
      <c r="I125" s="223"/>
      <c r="J125" s="227"/>
      <c r="K125" s="281"/>
      <c r="L125" s="279"/>
      <c r="M125" s="279"/>
      <c r="N125" s="189"/>
      <c r="O125" s="189"/>
      <c r="P125" s="189"/>
      <c r="Q125" s="189"/>
      <c r="R125" s="194"/>
      <c r="S125" s="281"/>
      <c r="T125" s="279"/>
      <c r="U125" s="279"/>
      <c r="V125" s="189"/>
      <c r="W125" s="189"/>
      <c r="X125" s="189"/>
      <c r="Y125" s="189"/>
      <c r="Z125" s="194"/>
      <c r="AA125" s="281"/>
      <c r="AB125" s="279"/>
      <c r="AC125" s="279"/>
      <c r="AD125" s="189"/>
      <c r="AE125" s="189"/>
      <c r="AF125" s="189"/>
      <c r="AG125" s="189"/>
      <c r="AH125" s="194"/>
      <c r="AI125" s="281"/>
      <c r="AJ125" s="279"/>
      <c r="AK125" s="279"/>
      <c r="AL125" s="189"/>
      <c r="AM125" s="189"/>
      <c r="AN125" s="189"/>
      <c r="AO125" s="189"/>
      <c r="AP125" s="194"/>
      <c r="AQ125" s="281"/>
      <c r="AR125" s="279"/>
      <c r="AS125" s="279"/>
      <c r="AT125" s="189"/>
      <c r="AU125" s="189"/>
      <c r="AV125" s="189"/>
      <c r="AW125" s="189"/>
      <c r="AX125" s="194"/>
      <c r="AY125" s="281"/>
      <c r="AZ125" s="279"/>
      <c r="BA125" s="279"/>
      <c r="BB125" s="189"/>
      <c r="BC125" s="189"/>
      <c r="BD125" s="189"/>
      <c r="BE125" s="189"/>
      <c r="BF125" s="194"/>
      <c r="BG125" s="281"/>
      <c r="BH125" s="279"/>
      <c r="BI125" s="279"/>
      <c r="BJ125" s="189"/>
      <c r="BK125" s="189"/>
      <c r="BL125" s="189"/>
      <c r="BM125" s="189"/>
      <c r="BN125" s="194"/>
      <c r="BO125" s="281"/>
      <c r="BP125" s="279"/>
      <c r="BQ125" s="279"/>
      <c r="BR125" s="189"/>
      <c r="BS125" s="189"/>
      <c r="BT125" s="189"/>
      <c r="BU125" s="189"/>
      <c r="BV125" s="194"/>
      <c r="BW125" s="281"/>
      <c r="BX125" s="279"/>
      <c r="BY125" s="279"/>
      <c r="BZ125" s="189"/>
      <c r="CA125" s="189"/>
      <c r="CB125" s="189"/>
      <c r="CC125" s="189"/>
      <c r="CD125" s="194"/>
      <c r="CE125" s="281"/>
      <c r="CF125" s="279"/>
      <c r="CG125" s="279"/>
      <c r="CH125" s="189"/>
      <c r="CI125" s="189"/>
      <c r="CJ125" s="189"/>
      <c r="CK125" s="189"/>
      <c r="CL125" s="194"/>
      <c r="CM125" s="281"/>
      <c r="CN125" s="279"/>
      <c r="CO125" s="279"/>
      <c r="CP125" s="189"/>
      <c r="CQ125" s="189"/>
      <c r="CR125" s="189"/>
      <c r="CS125" s="189"/>
      <c r="CT125" s="194"/>
      <c r="CU125" s="281"/>
      <c r="CV125" s="279"/>
      <c r="CW125" s="279"/>
      <c r="CX125" s="189"/>
      <c r="CY125" s="189"/>
      <c r="CZ125" s="189"/>
      <c r="DA125" s="189"/>
      <c r="DB125" s="194"/>
      <c r="DC125" s="281"/>
      <c r="DD125" s="279"/>
      <c r="DE125" s="279"/>
      <c r="DF125" s="189"/>
      <c r="DG125" s="189"/>
      <c r="DH125" s="189"/>
      <c r="DI125" s="189"/>
      <c r="DJ125" s="194"/>
      <c r="DK125" s="281"/>
      <c r="DL125" s="279"/>
      <c r="DM125" s="279"/>
      <c r="DN125" s="189"/>
      <c r="DO125" s="189"/>
      <c r="DP125" s="189"/>
      <c r="DQ125" s="189"/>
      <c r="DR125" s="194"/>
      <c r="DS125" s="281"/>
      <c r="DT125" s="279"/>
      <c r="DU125" s="279"/>
      <c r="DV125" s="189"/>
      <c r="DW125" s="189"/>
      <c r="DX125" s="189"/>
      <c r="DY125" s="189"/>
      <c r="DZ125" s="194"/>
      <c r="EA125" s="281"/>
      <c r="EB125" s="279"/>
      <c r="EC125" s="279"/>
      <c r="ED125" s="189"/>
      <c r="EE125" s="189"/>
      <c r="EF125" s="189"/>
      <c r="EG125" s="189"/>
      <c r="EH125" s="194"/>
      <c r="EI125" s="281"/>
      <c r="EJ125" s="279"/>
      <c r="EK125" s="279"/>
      <c r="EL125" s="189"/>
      <c r="EM125" s="189"/>
      <c r="EN125" s="189"/>
      <c r="EO125" s="189"/>
      <c r="EP125" s="194"/>
      <c r="EQ125" s="281"/>
      <c r="ER125" s="279"/>
      <c r="ES125" s="279"/>
      <c r="ET125" s="189"/>
      <c r="EU125" s="189"/>
      <c r="EV125" s="189"/>
      <c r="EW125" s="189"/>
      <c r="EX125" s="194"/>
      <c r="EY125" s="281"/>
      <c r="EZ125" s="279"/>
      <c r="FA125" s="279"/>
      <c r="FB125" s="189"/>
      <c r="FC125" s="189"/>
      <c r="FD125" s="189"/>
      <c r="FE125" s="189"/>
      <c r="FF125" s="194"/>
      <c r="FG125" s="281"/>
      <c r="FH125" s="279"/>
      <c r="FI125" s="279"/>
      <c r="FJ125" s="189"/>
      <c r="FK125" s="189"/>
      <c r="FL125" s="189"/>
      <c r="FM125" s="189"/>
      <c r="FN125" s="194"/>
      <c r="FO125" s="281"/>
      <c r="FP125" s="279"/>
      <c r="FQ125" s="279"/>
      <c r="FR125" s="189"/>
      <c r="FS125" s="189"/>
      <c r="FT125" s="189"/>
      <c r="FU125" s="189"/>
      <c r="FV125" s="194"/>
      <c r="FW125" s="281"/>
      <c r="FX125" s="279"/>
      <c r="FY125" s="279"/>
      <c r="FZ125" s="189"/>
      <c r="GA125" s="189"/>
      <c r="GB125" s="189"/>
      <c r="GC125" s="189"/>
      <c r="GD125" s="194"/>
      <c r="GE125" s="281"/>
      <c r="GF125" s="279"/>
      <c r="GG125" s="279"/>
      <c r="GH125" s="189"/>
      <c r="GI125" s="189"/>
      <c r="GJ125" s="189"/>
      <c r="GK125" s="189"/>
      <c r="GL125" s="194"/>
      <c r="GM125" s="281"/>
      <c r="GN125" s="279"/>
      <c r="GO125" s="279"/>
      <c r="GP125" s="189"/>
      <c r="GQ125" s="189"/>
      <c r="GR125" s="189"/>
      <c r="GS125" s="189"/>
      <c r="GT125" s="194"/>
      <c r="GU125" s="281"/>
      <c r="GV125" s="279"/>
      <c r="GW125" s="279"/>
      <c r="GX125" s="189"/>
      <c r="GY125" s="189"/>
      <c r="GZ125" s="189"/>
      <c r="HA125" s="189"/>
      <c r="HB125" s="194"/>
      <c r="HC125" s="281"/>
      <c r="HD125" s="279"/>
      <c r="HE125" s="279"/>
      <c r="HF125" s="189"/>
      <c r="HG125" s="189"/>
      <c r="HH125" s="189"/>
      <c r="HI125" s="189"/>
      <c r="HJ125" s="194"/>
      <c r="HK125" s="281"/>
      <c r="HL125" s="279"/>
      <c r="HM125" s="279"/>
      <c r="HN125" s="189"/>
      <c r="HO125" s="189"/>
      <c r="HP125" s="189"/>
      <c r="HQ125" s="189"/>
      <c r="HR125" s="194"/>
      <c r="HS125" s="281"/>
      <c r="HT125" s="279"/>
      <c r="HU125" s="279"/>
      <c r="HV125" s="189"/>
      <c r="HW125" s="189"/>
      <c r="HX125" s="189"/>
      <c r="HY125" s="189"/>
      <c r="HZ125" s="194"/>
      <c r="IA125" s="281"/>
      <c r="IB125" s="279"/>
      <c r="IC125" s="279"/>
      <c r="ID125" s="189"/>
      <c r="IE125" s="189"/>
      <c r="IF125" s="189"/>
      <c r="IG125" s="189"/>
      <c r="IH125" s="194"/>
      <c r="II125" s="281"/>
      <c r="IJ125" s="279"/>
      <c r="IK125" s="279"/>
      <c r="IL125" s="189"/>
      <c r="IM125" s="189"/>
      <c r="IN125" s="189"/>
      <c r="IO125" s="189"/>
    </row>
    <row r="126" spans="1:249" s="188" customFormat="1" ht="12.75">
      <c r="A126" s="227">
        <v>4</v>
      </c>
      <c r="B126" s="282" t="s">
        <v>231</v>
      </c>
      <c r="C126" s="212"/>
      <c r="D126" s="212"/>
      <c r="E126" s="215"/>
      <c r="F126" s="215"/>
      <c r="G126" s="260"/>
      <c r="H126" s="223">
        <v>0</v>
      </c>
      <c r="I126" s="223"/>
      <c r="J126" s="227"/>
      <c r="K126" s="281"/>
      <c r="L126" s="279"/>
      <c r="M126" s="279"/>
      <c r="N126" s="189"/>
      <c r="O126" s="189"/>
      <c r="P126" s="189"/>
      <c r="Q126" s="189"/>
      <c r="R126" s="194"/>
      <c r="S126" s="281"/>
      <c r="T126" s="279"/>
      <c r="U126" s="279"/>
      <c r="V126" s="189"/>
      <c r="W126" s="189"/>
      <c r="X126" s="189"/>
      <c r="Y126" s="189"/>
      <c r="Z126" s="194"/>
      <c r="AA126" s="281"/>
      <c r="AB126" s="279"/>
      <c r="AC126" s="279"/>
      <c r="AD126" s="189"/>
      <c r="AE126" s="189"/>
      <c r="AF126" s="189"/>
      <c r="AG126" s="189"/>
      <c r="AH126" s="194"/>
      <c r="AI126" s="281"/>
      <c r="AJ126" s="279"/>
      <c r="AK126" s="279"/>
      <c r="AL126" s="189"/>
      <c r="AM126" s="189"/>
      <c r="AN126" s="189"/>
      <c r="AO126" s="189"/>
      <c r="AP126" s="194"/>
      <c r="AQ126" s="281"/>
      <c r="AR126" s="279"/>
      <c r="AS126" s="279"/>
      <c r="AT126" s="189"/>
      <c r="AU126" s="189"/>
      <c r="AV126" s="189"/>
      <c r="AW126" s="189"/>
      <c r="AX126" s="194"/>
      <c r="AY126" s="281"/>
      <c r="AZ126" s="279"/>
      <c r="BA126" s="279"/>
      <c r="BB126" s="189"/>
      <c r="BC126" s="189"/>
      <c r="BD126" s="189"/>
      <c r="BE126" s="189"/>
      <c r="BF126" s="194"/>
      <c r="BG126" s="281"/>
      <c r="BH126" s="279"/>
      <c r="BI126" s="279"/>
      <c r="BJ126" s="189"/>
      <c r="BK126" s="189"/>
      <c r="BL126" s="189"/>
      <c r="BM126" s="189"/>
      <c r="BN126" s="194"/>
      <c r="BO126" s="281"/>
      <c r="BP126" s="279"/>
      <c r="BQ126" s="279"/>
      <c r="BR126" s="189"/>
      <c r="BS126" s="189"/>
      <c r="BT126" s="189"/>
      <c r="BU126" s="189"/>
      <c r="BV126" s="194"/>
      <c r="BW126" s="281"/>
      <c r="BX126" s="279"/>
      <c r="BY126" s="279"/>
      <c r="BZ126" s="189"/>
      <c r="CA126" s="189"/>
      <c r="CB126" s="189"/>
      <c r="CC126" s="189"/>
      <c r="CD126" s="194"/>
      <c r="CE126" s="281"/>
      <c r="CF126" s="279"/>
      <c r="CG126" s="279"/>
      <c r="CH126" s="189"/>
      <c r="CI126" s="189"/>
      <c r="CJ126" s="189"/>
      <c r="CK126" s="189"/>
      <c r="CL126" s="194"/>
      <c r="CM126" s="281"/>
      <c r="CN126" s="279"/>
      <c r="CO126" s="279"/>
      <c r="CP126" s="189"/>
      <c r="CQ126" s="189"/>
      <c r="CR126" s="189"/>
      <c r="CS126" s="189"/>
      <c r="CT126" s="194"/>
      <c r="CU126" s="281"/>
      <c r="CV126" s="279"/>
      <c r="CW126" s="279"/>
      <c r="CX126" s="189"/>
      <c r="CY126" s="189"/>
      <c r="CZ126" s="189"/>
      <c r="DA126" s="189"/>
      <c r="DB126" s="194"/>
      <c r="DC126" s="281"/>
      <c r="DD126" s="279"/>
      <c r="DE126" s="279"/>
      <c r="DF126" s="189"/>
      <c r="DG126" s="189"/>
      <c r="DH126" s="189"/>
      <c r="DI126" s="189"/>
      <c r="DJ126" s="194"/>
      <c r="DK126" s="281"/>
      <c r="DL126" s="279"/>
      <c r="DM126" s="279"/>
      <c r="DN126" s="189"/>
      <c r="DO126" s="189"/>
      <c r="DP126" s="189"/>
      <c r="DQ126" s="189"/>
      <c r="DR126" s="194"/>
      <c r="DS126" s="281"/>
      <c r="DT126" s="279"/>
      <c r="DU126" s="279"/>
      <c r="DV126" s="189"/>
      <c r="DW126" s="189"/>
      <c r="DX126" s="189"/>
      <c r="DY126" s="189"/>
      <c r="DZ126" s="194"/>
      <c r="EA126" s="281"/>
      <c r="EB126" s="279"/>
      <c r="EC126" s="279"/>
      <c r="ED126" s="189"/>
      <c r="EE126" s="189"/>
      <c r="EF126" s="189"/>
      <c r="EG126" s="189"/>
      <c r="EH126" s="194"/>
      <c r="EI126" s="281"/>
      <c r="EJ126" s="279"/>
      <c r="EK126" s="279"/>
      <c r="EL126" s="189"/>
      <c r="EM126" s="189"/>
      <c r="EN126" s="189"/>
      <c r="EO126" s="189"/>
      <c r="EP126" s="194"/>
      <c r="EQ126" s="281"/>
      <c r="ER126" s="279"/>
      <c r="ES126" s="279"/>
      <c r="ET126" s="189"/>
      <c r="EU126" s="189"/>
      <c r="EV126" s="189"/>
      <c r="EW126" s="189"/>
      <c r="EX126" s="194"/>
      <c r="EY126" s="281"/>
      <c r="EZ126" s="279"/>
      <c r="FA126" s="279"/>
      <c r="FB126" s="189"/>
      <c r="FC126" s="189"/>
      <c r="FD126" s="189"/>
      <c r="FE126" s="189"/>
      <c r="FF126" s="194"/>
      <c r="FG126" s="281"/>
      <c r="FH126" s="279"/>
      <c r="FI126" s="279"/>
      <c r="FJ126" s="189"/>
      <c r="FK126" s="189"/>
      <c r="FL126" s="189"/>
      <c r="FM126" s="189"/>
      <c r="FN126" s="194"/>
      <c r="FO126" s="281"/>
      <c r="FP126" s="279"/>
      <c r="FQ126" s="279"/>
      <c r="FR126" s="189"/>
      <c r="FS126" s="189"/>
      <c r="FT126" s="189"/>
      <c r="FU126" s="189"/>
      <c r="FV126" s="194"/>
      <c r="FW126" s="281"/>
      <c r="FX126" s="279"/>
      <c r="FY126" s="279"/>
      <c r="FZ126" s="189"/>
      <c r="GA126" s="189"/>
      <c r="GB126" s="189"/>
      <c r="GC126" s="189"/>
      <c r="GD126" s="194"/>
      <c r="GE126" s="281"/>
      <c r="GF126" s="279"/>
      <c r="GG126" s="279"/>
      <c r="GH126" s="189"/>
      <c r="GI126" s="189"/>
      <c r="GJ126" s="189"/>
      <c r="GK126" s="189"/>
      <c r="GL126" s="194"/>
      <c r="GM126" s="281"/>
      <c r="GN126" s="279"/>
      <c r="GO126" s="279"/>
      <c r="GP126" s="189"/>
      <c r="GQ126" s="189"/>
      <c r="GR126" s="189"/>
      <c r="GS126" s="189"/>
      <c r="GT126" s="194"/>
      <c r="GU126" s="281"/>
      <c r="GV126" s="279"/>
      <c r="GW126" s="279"/>
      <c r="GX126" s="189"/>
      <c r="GY126" s="189"/>
      <c r="GZ126" s="189"/>
      <c r="HA126" s="189"/>
      <c r="HB126" s="194"/>
      <c r="HC126" s="281"/>
      <c r="HD126" s="279"/>
      <c r="HE126" s="279"/>
      <c r="HF126" s="189"/>
      <c r="HG126" s="189"/>
      <c r="HH126" s="189"/>
      <c r="HI126" s="189"/>
      <c r="HJ126" s="194"/>
      <c r="HK126" s="281"/>
      <c r="HL126" s="279"/>
      <c r="HM126" s="279"/>
      <c r="HN126" s="189"/>
      <c r="HO126" s="189"/>
      <c r="HP126" s="189"/>
      <c r="HQ126" s="189"/>
      <c r="HR126" s="194"/>
      <c r="HS126" s="281"/>
      <c r="HT126" s="279"/>
      <c r="HU126" s="279"/>
      <c r="HV126" s="189"/>
      <c r="HW126" s="189"/>
      <c r="HX126" s="189"/>
      <c r="HY126" s="189"/>
      <c r="HZ126" s="194"/>
      <c r="IA126" s="281"/>
      <c r="IB126" s="279"/>
      <c r="IC126" s="279"/>
      <c r="ID126" s="189"/>
      <c r="IE126" s="189"/>
      <c r="IF126" s="189"/>
      <c r="IG126" s="189"/>
      <c r="IH126" s="194"/>
      <c r="II126" s="281"/>
      <c r="IJ126" s="279"/>
      <c r="IK126" s="279"/>
      <c r="IL126" s="189"/>
      <c r="IM126" s="189"/>
      <c r="IN126" s="189"/>
      <c r="IO126" s="189"/>
    </row>
    <row r="127" spans="1:249" s="188" customFormat="1" ht="12.75">
      <c r="A127" s="227">
        <v>5</v>
      </c>
      <c r="B127" s="282" t="s">
        <v>558</v>
      </c>
      <c r="C127" s="212"/>
      <c r="D127" s="212"/>
      <c r="E127" s="215"/>
      <c r="F127" s="215"/>
      <c r="G127" s="260"/>
      <c r="H127" s="223">
        <v>29000</v>
      </c>
      <c r="I127" s="223"/>
      <c r="J127" s="227"/>
      <c r="K127" s="281"/>
      <c r="L127" s="279"/>
      <c r="M127" s="279"/>
      <c r="N127" s="189"/>
      <c r="O127" s="189"/>
      <c r="P127" s="189"/>
      <c r="Q127" s="189"/>
      <c r="R127" s="194"/>
      <c r="S127" s="281"/>
      <c r="T127" s="279"/>
      <c r="U127" s="279"/>
      <c r="V127" s="189"/>
      <c r="W127" s="189"/>
      <c r="X127" s="189"/>
      <c r="Y127" s="189"/>
      <c r="Z127" s="194"/>
      <c r="AA127" s="281"/>
      <c r="AB127" s="279"/>
      <c r="AC127" s="279"/>
      <c r="AD127" s="189"/>
      <c r="AE127" s="189"/>
      <c r="AF127" s="189"/>
      <c r="AG127" s="189"/>
      <c r="AH127" s="194"/>
      <c r="AI127" s="281"/>
      <c r="AJ127" s="279"/>
      <c r="AK127" s="279"/>
      <c r="AL127" s="189"/>
      <c r="AM127" s="189"/>
      <c r="AN127" s="189"/>
      <c r="AO127" s="189"/>
      <c r="AP127" s="194"/>
      <c r="AQ127" s="281"/>
      <c r="AR127" s="279"/>
      <c r="AS127" s="279"/>
      <c r="AT127" s="189"/>
      <c r="AU127" s="189"/>
      <c r="AV127" s="189"/>
      <c r="AW127" s="189"/>
      <c r="AX127" s="194"/>
      <c r="AY127" s="281"/>
      <c r="AZ127" s="279"/>
      <c r="BA127" s="279"/>
      <c r="BB127" s="189"/>
      <c r="BC127" s="189"/>
      <c r="BD127" s="189"/>
      <c r="BE127" s="189"/>
      <c r="BF127" s="194"/>
      <c r="BG127" s="281"/>
      <c r="BH127" s="279"/>
      <c r="BI127" s="279"/>
      <c r="BJ127" s="189"/>
      <c r="BK127" s="189"/>
      <c r="BL127" s="189"/>
      <c r="BM127" s="189"/>
      <c r="BN127" s="194"/>
      <c r="BO127" s="281"/>
      <c r="BP127" s="279"/>
      <c r="BQ127" s="279"/>
      <c r="BR127" s="189"/>
      <c r="BS127" s="189"/>
      <c r="BT127" s="189"/>
      <c r="BU127" s="189"/>
      <c r="BV127" s="194"/>
      <c r="BW127" s="281"/>
      <c r="BX127" s="279"/>
      <c r="BY127" s="279"/>
      <c r="BZ127" s="189"/>
      <c r="CA127" s="189"/>
      <c r="CB127" s="189"/>
      <c r="CC127" s="189"/>
      <c r="CD127" s="194"/>
      <c r="CE127" s="281"/>
      <c r="CF127" s="279"/>
      <c r="CG127" s="279"/>
      <c r="CH127" s="189"/>
      <c r="CI127" s="189"/>
      <c r="CJ127" s="189"/>
      <c r="CK127" s="189"/>
      <c r="CL127" s="194"/>
      <c r="CM127" s="281"/>
      <c r="CN127" s="279"/>
      <c r="CO127" s="279"/>
      <c r="CP127" s="189"/>
      <c r="CQ127" s="189"/>
      <c r="CR127" s="189"/>
      <c r="CS127" s="189"/>
      <c r="CT127" s="194"/>
      <c r="CU127" s="281"/>
      <c r="CV127" s="279"/>
      <c r="CW127" s="279"/>
      <c r="CX127" s="189"/>
      <c r="CY127" s="189"/>
      <c r="CZ127" s="189"/>
      <c r="DA127" s="189"/>
      <c r="DB127" s="194"/>
      <c r="DC127" s="281"/>
      <c r="DD127" s="279"/>
      <c r="DE127" s="279"/>
      <c r="DF127" s="189"/>
      <c r="DG127" s="189"/>
      <c r="DH127" s="189"/>
      <c r="DI127" s="189"/>
      <c r="DJ127" s="194"/>
      <c r="DK127" s="281"/>
      <c r="DL127" s="279"/>
      <c r="DM127" s="279"/>
      <c r="DN127" s="189"/>
      <c r="DO127" s="189"/>
      <c r="DP127" s="189"/>
      <c r="DQ127" s="189"/>
      <c r="DR127" s="194"/>
      <c r="DS127" s="281"/>
      <c r="DT127" s="279"/>
      <c r="DU127" s="279"/>
      <c r="DV127" s="189"/>
      <c r="DW127" s="189"/>
      <c r="DX127" s="189"/>
      <c r="DY127" s="189"/>
      <c r="DZ127" s="194"/>
      <c r="EA127" s="281"/>
      <c r="EB127" s="279"/>
      <c r="EC127" s="279"/>
      <c r="ED127" s="189"/>
      <c r="EE127" s="189"/>
      <c r="EF127" s="189"/>
      <c r="EG127" s="189"/>
      <c r="EH127" s="194"/>
      <c r="EI127" s="281"/>
      <c r="EJ127" s="279"/>
      <c r="EK127" s="279"/>
      <c r="EL127" s="189"/>
      <c r="EM127" s="189"/>
      <c r="EN127" s="189"/>
      <c r="EO127" s="189"/>
      <c r="EP127" s="194"/>
      <c r="EQ127" s="281"/>
      <c r="ER127" s="279"/>
      <c r="ES127" s="279"/>
      <c r="ET127" s="189"/>
      <c r="EU127" s="189"/>
      <c r="EV127" s="189"/>
      <c r="EW127" s="189"/>
      <c r="EX127" s="194"/>
      <c r="EY127" s="281"/>
      <c r="EZ127" s="279"/>
      <c r="FA127" s="279"/>
      <c r="FB127" s="189"/>
      <c r="FC127" s="189"/>
      <c r="FD127" s="189"/>
      <c r="FE127" s="189"/>
      <c r="FF127" s="194"/>
      <c r="FG127" s="281"/>
      <c r="FH127" s="279"/>
      <c r="FI127" s="279"/>
      <c r="FJ127" s="189"/>
      <c r="FK127" s="189"/>
      <c r="FL127" s="189"/>
      <c r="FM127" s="189"/>
      <c r="FN127" s="194"/>
      <c r="FO127" s="281"/>
      <c r="FP127" s="279"/>
      <c r="FQ127" s="279"/>
      <c r="FR127" s="189"/>
      <c r="FS127" s="189"/>
      <c r="FT127" s="189"/>
      <c r="FU127" s="189"/>
      <c r="FV127" s="194"/>
      <c r="FW127" s="281"/>
      <c r="FX127" s="279"/>
      <c r="FY127" s="279"/>
      <c r="FZ127" s="189"/>
      <c r="GA127" s="189"/>
      <c r="GB127" s="189"/>
      <c r="GC127" s="189"/>
      <c r="GD127" s="194"/>
      <c r="GE127" s="281"/>
      <c r="GF127" s="279"/>
      <c r="GG127" s="279"/>
      <c r="GH127" s="189"/>
      <c r="GI127" s="189"/>
      <c r="GJ127" s="189"/>
      <c r="GK127" s="189"/>
      <c r="GL127" s="194"/>
      <c r="GM127" s="281"/>
      <c r="GN127" s="279"/>
      <c r="GO127" s="279"/>
      <c r="GP127" s="189"/>
      <c r="GQ127" s="189"/>
      <c r="GR127" s="189"/>
      <c r="GS127" s="189"/>
      <c r="GT127" s="194"/>
      <c r="GU127" s="281"/>
      <c r="GV127" s="279"/>
      <c r="GW127" s="279"/>
      <c r="GX127" s="189"/>
      <c r="GY127" s="189"/>
      <c r="GZ127" s="189"/>
      <c r="HA127" s="189"/>
      <c r="HB127" s="194"/>
      <c r="HC127" s="281"/>
      <c r="HD127" s="279"/>
      <c r="HE127" s="279"/>
      <c r="HF127" s="189"/>
      <c r="HG127" s="189"/>
      <c r="HH127" s="189"/>
      <c r="HI127" s="189"/>
      <c r="HJ127" s="194"/>
      <c r="HK127" s="281"/>
      <c r="HL127" s="279"/>
      <c r="HM127" s="279"/>
      <c r="HN127" s="189"/>
      <c r="HO127" s="189"/>
      <c r="HP127" s="189"/>
      <c r="HQ127" s="189"/>
      <c r="HR127" s="194"/>
      <c r="HS127" s="281"/>
      <c r="HT127" s="279"/>
      <c r="HU127" s="279"/>
      <c r="HV127" s="189"/>
      <c r="HW127" s="189"/>
      <c r="HX127" s="189"/>
      <c r="HY127" s="189"/>
      <c r="HZ127" s="194"/>
      <c r="IA127" s="281"/>
      <c r="IB127" s="279"/>
      <c r="IC127" s="279"/>
      <c r="ID127" s="189"/>
      <c r="IE127" s="189"/>
      <c r="IF127" s="189"/>
      <c r="IG127" s="189"/>
      <c r="IH127" s="194"/>
      <c r="II127" s="281"/>
      <c r="IJ127" s="279"/>
      <c r="IK127" s="279"/>
      <c r="IL127" s="189"/>
      <c r="IM127" s="189"/>
      <c r="IN127" s="189"/>
      <c r="IO127" s="189"/>
    </row>
    <row r="128" spans="1:249" s="188" customFormat="1" ht="15">
      <c r="A128" s="227"/>
      <c r="B128" s="93" t="s">
        <v>220</v>
      </c>
      <c r="C128" s="224"/>
      <c r="D128" s="210"/>
      <c r="E128" s="231"/>
      <c r="F128" s="231"/>
      <c r="G128" s="245"/>
      <c r="H128" s="254">
        <f>H111+H112+H122</f>
        <v>1129156.0024169981</v>
      </c>
      <c r="I128" s="254"/>
      <c r="J128" s="280"/>
      <c r="L128" s="279"/>
      <c r="M128" s="279"/>
      <c r="N128" s="189"/>
      <c r="O128" s="189"/>
      <c r="P128" s="189"/>
      <c r="Q128" s="189"/>
      <c r="R128" s="194"/>
      <c r="T128" s="279"/>
      <c r="U128" s="279"/>
      <c r="V128" s="189"/>
      <c r="W128" s="189"/>
      <c r="X128" s="189"/>
      <c r="Y128" s="189"/>
      <c r="Z128" s="194"/>
      <c r="AB128" s="279"/>
      <c r="AC128" s="279"/>
      <c r="AD128" s="189"/>
      <c r="AE128" s="189"/>
      <c r="AF128" s="189"/>
      <c r="AG128" s="189"/>
      <c r="AH128" s="194"/>
      <c r="AJ128" s="279"/>
      <c r="AK128" s="279"/>
      <c r="AL128" s="189"/>
      <c r="AM128" s="189"/>
      <c r="AN128" s="189"/>
      <c r="AO128" s="189"/>
      <c r="AP128" s="194"/>
      <c r="AR128" s="279"/>
      <c r="AS128" s="279"/>
      <c r="AT128" s="189"/>
      <c r="AU128" s="189"/>
      <c r="AV128" s="189"/>
      <c r="AW128" s="189"/>
      <c r="AX128" s="194"/>
      <c r="AZ128" s="279"/>
      <c r="BA128" s="279"/>
      <c r="BB128" s="189"/>
      <c r="BC128" s="189"/>
      <c r="BD128" s="189"/>
      <c r="BE128" s="189"/>
      <c r="BF128" s="194"/>
      <c r="BH128" s="279"/>
      <c r="BI128" s="279"/>
      <c r="BJ128" s="189"/>
      <c r="BK128" s="189"/>
      <c r="BL128" s="189"/>
      <c r="BM128" s="189"/>
      <c r="BN128" s="194"/>
      <c r="BP128" s="279"/>
      <c r="BQ128" s="279"/>
      <c r="BR128" s="189"/>
      <c r="BS128" s="189"/>
      <c r="BT128" s="189"/>
      <c r="BU128" s="189"/>
      <c r="BV128" s="194"/>
      <c r="BX128" s="279"/>
      <c r="BY128" s="279"/>
      <c r="BZ128" s="189"/>
      <c r="CA128" s="189"/>
      <c r="CB128" s="189"/>
      <c r="CC128" s="189"/>
      <c r="CD128" s="194"/>
      <c r="CF128" s="279"/>
      <c r="CG128" s="279"/>
      <c r="CH128" s="189"/>
      <c r="CI128" s="189"/>
      <c r="CJ128" s="189"/>
      <c r="CK128" s="189"/>
      <c r="CL128" s="194"/>
      <c r="CN128" s="279"/>
      <c r="CO128" s="279"/>
      <c r="CP128" s="189"/>
      <c r="CQ128" s="189"/>
      <c r="CR128" s="189"/>
      <c r="CS128" s="189"/>
      <c r="CT128" s="194"/>
      <c r="CV128" s="279"/>
      <c r="CW128" s="279"/>
      <c r="CX128" s="189"/>
      <c r="CY128" s="189"/>
      <c r="CZ128" s="189"/>
      <c r="DA128" s="189"/>
      <c r="DB128" s="194"/>
      <c r="DD128" s="279"/>
      <c r="DE128" s="279"/>
      <c r="DF128" s="189"/>
      <c r="DG128" s="189"/>
      <c r="DH128" s="189"/>
      <c r="DI128" s="189"/>
      <c r="DJ128" s="194"/>
      <c r="DL128" s="279"/>
      <c r="DM128" s="279"/>
      <c r="DN128" s="189"/>
      <c r="DO128" s="189"/>
      <c r="DP128" s="189"/>
      <c r="DQ128" s="189"/>
      <c r="DR128" s="194"/>
      <c r="DT128" s="279"/>
      <c r="DU128" s="279"/>
      <c r="DV128" s="189"/>
      <c r="DW128" s="189"/>
      <c r="DX128" s="189"/>
      <c r="DY128" s="189"/>
      <c r="DZ128" s="194"/>
      <c r="EB128" s="279"/>
      <c r="EC128" s="279"/>
      <c r="ED128" s="189"/>
      <c r="EE128" s="189"/>
      <c r="EF128" s="189"/>
      <c r="EG128" s="189"/>
      <c r="EH128" s="194"/>
      <c r="EJ128" s="279"/>
      <c r="EK128" s="279"/>
      <c r="EL128" s="189"/>
      <c r="EM128" s="189"/>
      <c r="EN128" s="189"/>
      <c r="EO128" s="189"/>
      <c r="EP128" s="194"/>
      <c r="ER128" s="279"/>
      <c r="ES128" s="279"/>
      <c r="ET128" s="189"/>
      <c r="EU128" s="189"/>
      <c r="EV128" s="189"/>
      <c r="EW128" s="189"/>
      <c r="EX128" s="194"/>
      <c r="EZ128" s="279"/>
      <c r="FA128" s="279"/>
      <c r="FB128" s="189"/>
      <c r="FC128" s="189"/>
      <c r="FD128" s="189"/>
      <c r="FE128" s="189"/>
      <c r="FF128" s="194"/>
      <c r="FH128" s="279"/>
      <c r="FI128" s="279"/>
      <c r="FJ128" s="189"/>
      <c r="FK128" s="189"/>
      <c r="FL128" s="189"/>
      <c r="FM128" s="189"/>
      <c r="FN128" s="194"/>
      <c r="FP128" s="279"/>
      <c r="FQ128" s="279"/>
      <c r="FR128" s="189"/>
      <c r="FS128" s="189"/>
      <c r="FT128" s="189"/>
      <c r="FU128" s="189"/>
      <c r="FV128" s="194"/>
      <c r="FX128" s="279"/>
      <c r="FY128" s="279"/>
      <c r="FZ128" s="189"/>
      <c r="GA128" s="189"/>
      <c r="GB128" s="189"/>
      <c r="GC128" s="189"/>
      <c r="GD128" s="194"/>
      <c r="GF128" s="279"/>
      <c r="GG128" s="279"/>
      <c r="GH128" s="189"/>
      <c r="GI128" s="189"/>
      <c r="GJ128" s="189"/>
      <c r="GK128" s="189"/>
      <c r="GL128" s="194"/>
      <c r="GN128" s="279"/>
      <c r="GO128" s="279"/>
      <c r="GP128" s="189"/>
      <c r="GQ128" s="189"/>
      <c r="GR128" s="189"/>
      <c r="GS128" s="189"/>
      <c r="GT128" s="194"/>
      <c r="GV128" s="279"/>
      <c r="GW128" s="279"/>
      <c r="GX128" s="189"/>
      <c r="GY128" s="189"/>
      <c r="GZ128" s="189"/>
      <c r="HA128" s="189"/>
      <c r="HB128" s="194"/>
      <c r="HD128" s="279"/>
      <c r="HE128" s="279"/>
      <c r="HF128" s="189"/>
      <c r="HG128" s="189"/>
      <c r="HH128" s="189"/>
      <c r="HI128" s="189"/>
      <c r="HJ128" s="194"/>
      <c r="HL128" s="279"/>
      <c r="HM128" s="279"/>
      <c r="HN128" s="189"/>
      <c r="HO128" s="189"/>
      <c r="HP128" s="189"/>
      <c r="HQ128" s="189"/>
      <c r="HR128" s="194"/>
      <c r="HT128" s="279"/>
      <c r="HU128" s="279"/>
      <c r="HV128" s="189"/>
      <c r="HW128" s="189"/>
      <c r="HX128" s="189"/>
      <c r="HY128" s="189"/>
      <c r="HZ128" s="194"/>
      <c r="IB128" s="279"/>
      <c r="IC128" s="279"/>
      <c r="ID128" s="189"/>
      <c r="IE128" s="189"/>
      <c r="IF128" s="189"/>
      <c r="IG128" s="189"/>
      <c r="IH128" s="194"/>
      <c r="IJ128" s="279"/>
      <c r="IK128" s="279"/>
      <c r="IL128" s="189"/>
      <c r="IM128" s="189"/>
      <c r="IN128" s="189"/>
      <c r="IO128" s="189"/>
    </row>
    <row r="129" spans="1:10" ht="12.75">
      <c r="A129" s="399" t="s">
        <v>68</v>
      </c>
      <c r="B129" s="400"/>
      <c r="C129" s="400"/>
      <c r="D129" s="400"/>
      <c r="E129" s="400"/>
      <c r="F129" s="400"/>
      <c r="G129" s="400"/>
      <c r="H129" s="185"/>
      <c r="I129" s="185"/>
      <c r="J129" s="51"/>
    </row>
    <row r="130" spans="1:10" ht="12.75">
      <c r="A130" s="227">
        <v>1</v>
      </c>
      <c r="B130" s="277"/>
      <c r="C130" s="215" t="s">
        <v>238</v>
      </c>
      <c r="D130" s="215" t="s">
        <v>122</v>
      </c>
      <c r="E130" s="205" t="s">
        <v>122</v>
      </c>
      <c r="F130" s="205" t="s">
        <v>122</v>
      </c>
      <c r="G130" s="205" t="s">
        <v>122</v>
      </c>
      <c r="H130" s="278" t="s">
        <v>239</v>
      </c>
      <c r="I130" s="278"/>
      <c r="J130" s="51"/>
    </row>
    <row r="131" spans="1:10" ht="12.75">
      <c r="A131" s="227"/>
      <c r="B131" s="277"/>
      <c r="C131" s="215"/>
      <c r="D131" s="215"/>
      <c r="E131" s="215"/>
      <c r="F131" s="215"/>
      <c r="G131" s="215"/>
      <c r="H131" s="276"/>
      <c r="I131" s="276"/>
      <c r="J131" s="51"/>
    </row>
    <row r="132" spans="1:10" ht="12.75">
      <c r="A132" s="421" t="s">
        <v>19</v>
      </c>
      <c r="B132" s="422"/>
      <c r="C132" s="422"/>
      <c r="D132" s="422"/>
      <c r="E132" s="422"/>
      <c r="F132" s="422"/>
      <c r="G132" s="422"/>
      <c r="H132" s="422"/>
      <c r="I132" s="185"/>
      <c r="J132" s="51"/>
    </row>
    <row r="133" spans="1:10" ht="12.75">
      <c r="A133" s="421" t="s">
        <v>20</v>
      </c>
      <c r="B133" s="422"/>
      <c r="C133" s="422"/>
      <c r="D133" s="422"/>
      <c r="E133" s="422"/>
      <c r="F133" s="422"/>
      <c r="G133" s="422"/>
      <c r="H133" s="422"/>
      <c r="I133" s="185"/>
      <c r="J133" s="51"/>
    </row>
    <row r="134" spans="1:10" ht="12.75">
      <c r="A134" s="212">
        <v>1</v>
      </c>
      <c r="B134" s="208" t="s">
        <v>297</v>
      </c>
      <c r="C134" s="51"/>
      <c r="D134" s="51"/>
      <c r="E134" s="215"/>
      <c r="F134" s="215"/>
      <c r="G134" s="215"/>
      <c r="H134" s="223"/>
      <c r="I134" s="223"/>
      <c r="J134" s="51"/>
    </row>
    <row r="135" spans="1:10" ht="14.25">
      <c r="A135" s="51"/>
      <c r="B135" s="256" t="s">
        <v>82</v>
      </c>
      <c r="C135" s="212" t="s">
        <v>61</v>
      </c>
      <c r="D135" s="212">
        <v>118</v>
      </c>
      <c r="E135" s="269">
        <v>1</v>
      </c>
      <c r="F135" s="216">
        <v>1</v>
      </c>
      <c r="G135" s="215">
        <f aca="true" t="shared" si="4" ref="G135:G144">D135*E135*F135</f>
        <v>118</v>
      </c>
      <c r="H135" s="219">
        <f aca="true" t="shared" si="5" ref="H135:H183">917978/59164.34*G135</f>
        <v>1830.856289447326</v>
      </c>
      <c r="I135" s="219"/>
      <c r="J135" s="51"/>
    </row>
    <row r="136" spans="1:10" ht="14.25">
      <c r="A136" s="51"/>
      <c r="B136" s="256" t="s">
        <v>83</v>
      </c>
      <c r="C136" s="212" t="s">
        <v>80</v>
      </c>
      <c r="D136" s="212">
        <v>236</v>
      </c>
      <c r="E136" s="269">
        <v>3</v>
      </c>
      <c r="F136" s="216">
        <v>0.042</v>
      </c>
      <c r="G136" s="261">
        <f t="shared" si="4"/>
        <v>29.736</v>
      </c>
      <c r="H136" s="219">
        <f t="shared" si="5"/>
        <v>461.37578494072613</v>
      </c>
      <c r="I136" s="219"/>
      <c r="J136" s="51"/>
    </row>
    <row r="137" spans="1:10" ht="12.75">
      <c r="A137" s="51"/>
      <c r="B137" s="256" t="s">
        <v>291</v>
      </c>
      <c r="C137" s="212" t="s">
        <v>80</v>
      </c>
      <c r="D137" s="212">
        <v>50</v>
      </c>
      <c r="E137" s="216">
        <v>1</v>
      </c>
      <c r="F137" s="216">
        <v>1.111</v>
      </c>
      <c r="G137" s="261">
        <f t="shared" si="4"/>
        <v>55.55</v>
      </c>
      <c r="H137" s="219">
        <f t="shared" si="5"/>
        <v>861.8988718542283</v>
      </c>
      <c r="I137" s="219"/>
      <c r="J137" s="51"/>
    </row>
    <row r="138" spans="1:10" ht="12.75">
      <c r="A138" s="51"/>
      <c r="B138" s="256" t="s">
        <v>292</v>
      </c>
      <c r="C138" s="212" t="s">
        <v>80</v>
      </c>
      <c r="D138" s="212">
        <v>50</v>
      </c>
      <c r="E138" s="216">
        <v>1</v>
      </c>
      <c r="F138" s="216">
        <v>3.333</v>
      </c>
      <c r="G138" s="261">
        <f t="shared" si="4"/>
        <v>166.65</v>
      </c>
      <c r="H138" s="219">
        <f t="shared" si="5"/>
        <v>2585.6966155626856</v>
      </c>
      <c r="I138" s="219"/>
      <c r="J138" s="51"/>
    </row>
    <row r="139" spans="1:10" ht="12.75">
      <c r="A139" s="51"/>
      <c r="B139" s="256" t="s">
        <v>293</v>
      </c>
      <c r="C139" s="212" t="s">
        <v>80</v>
      </c>
      <c r="D139" s="212">
        <v>1000</v>
      </c>
      <c r="E139" s="216">
        <v>1</v>
      </c>
      <c r="F139" s="216">
        <v>0.04</v>
      </c>
      <c r="G139" s="221">
        <f t="shared" si="4"/>
        <v>40</v>
      </c>
      <c r="H139" s="219">
        <f t="shared" si="5"/>
        <v>620.6292506601105</v>
      </c>
      <c r="I139" s="219"/>
      <c r="J139" s="51"/>
    </row>
    <row r="140" spans="1:10" ht="12.75">
      <c r="A140" s="51"/>
      <c r="B140" s="256" t="s">
        <v>294</v>
      </c>
      <c r="C140" s="212" t="s">
        <v>295</v>
      </c>
      <c r="D140" s="212">
        <v>1.5</v>
      </c>
      <c r="E140" s="216">
        <v>1</v>
      </c>
      <c r="F140" s="275">
        <v>14.286</v>
      </c>
      <c r="G140" s="261">
        <f t="shared" si="4"/>
        <v>21.429</v>
      </c>
      <c r="H140" s="219">
        <f t="shared" si="5"/>
        <v>332.48660530988764</v>
      </c>
      <c r="I140" s="219"/>
      <c r="J140" s="51"/>
    </row>
    <row r="141" spans="1:10" ht="14.25">
      <c r="A141" s="51"/>
      <c r="B141" s="256" t="s">
        <v>113</v>
      </c>
      <c r="C141" s="212" t="s">
        <v>61</v>
      </c>
      <c r="D141" s="212">
        <v>4</v>
      </c>
      <c r="E141" s="269">
        <v>11</v>
      </c>
      <c r="F141" s="216">
        <v>1</v>
      </c>
      <c r="G141" s="261">
        <f t="shared" si="4"/>
        <v>44</v>
      </c>
      <c r="H141" s="219">
        <f t="shared" si="5"/>
        <v>682.6921757261215</v>
      </c>
      <c r="I141" s="219"/>
      <c r="J141" s="51"/>
    </row>
    <row r="142" spans="1:10" ht="14.25">
      <c r="A142" s="51"/>
      <c r="B142" s="256" t="s">
        <v>114</v>
      </c>
      <c r="C142" s="212" t="s">
        <v>61</v>
      </c>
      <c r="D142" s="212">
        <v>17</v>
      </c>
      <c r="E142" s="269">
        <v>3</v>
      </c>
      <c r="F142" s="216">
        <v>1</v>
      </c>
      <c r="G142" s="261">
        <f t="shared" si="4"/>
        <v>51</v>
      </c>
      <c r="H142" s="219">
        <f t="shared" si="5"/>
        <v>791.3022945916408</v>
      </c>
      <c r="I142" s="219"/>
      <c r="J142" s="51"/>
    </row>
    <row r="143" spans="1:10" ht="14.25">
      <c r="A143" s="51"/>
      <c r="B143" s="256" t="s">
        <v>110</v>
      </c>
      <c r="C143" s="212" t="s">
        <v>61</v>
      </c>
      <c r="D143" s="212">
        <v>16</v>
      </c>
      <c r="E143" s="269">
        <f>4*3</f>
        <v>12</v>
      </c>
      <c r="F143" s="216">
        <v>1</v>
      </c>
      <c r="G143" s="215">
        <f t="shared" si="4"/>
        <v>192</v>
      </c>
      <c r="H143" s="219">
        <f t="shared" si="5"/>
        <v>2979.0204031685303</v>
      </c>
      <c r="I143" s="219"/>
      <c r="J143" s="51"/>
    </row>
    <row r="144" spans="1:10" ht="14.25">
      <c r="A144" s="51"/>
      <c r="B144" s="256" t="s">
        <v>421</v>
      </c>
      <c r="C144" s="212" t="s">
        <v>61</v>
      </c>
      <c r="D144" s="212">
        <v>14111</v>
      </c>
      <c r="E144" s="269">
        <v>1</v>
      </c>
      <c r="F144" s="216">
        <v>1</v>
      </c>
      <c r="G144" s="261">
        <f t="shared" si="4"/>
        <v>14111</v>
      </c>
      <c r="H144" s="219">
        <f t="shared" si="5"/>
        <v>218942.48390162046</v>
      </c>
      <c r="I144" s="219"/>
      <c r="J144" s="51" t="s">
        <v>551</v>
      </c>
    </row>
    <row r="145" spans="1:10" ht="12.75">
      <c r="A145" s="51">
        <v>2</v>
      </c>
      <c r="B145" s="208" t="s">
        <v>298</v>
      </c>
      <c r="C145" s="51"/>
      <c r="D145" s="51"/>
      <c r="E145" s="215"/>
      <c r="F145" s="216"/>
      <c r="G145" s="215"/>
      <c r="H145" s="219">
        <f t="shared" si="5"/>
        <v>0</v>
      </c>
      <c r="I145" s="219"/>
      <c r="J145" s="51"/>
    </row>
    <row r="146" spans="1:10" ht="12.75">
      <c r="A146" s="256"/>
      <c r="B146" s="208" t="s">
        <v>299</v>
      </c>
      <c r="C146" s="51"/>
      <c r="D146" s="51"/>
      <c r="E146" s="215"/>
      <c r="F146" s="215"/>
      <c r="G146" s="215"/>
      <c r="H146" s="219">
        <f t="shared" si="5"/>
        <v>0</v>
      </c>
      <c r="I146" s="219"/>
      <c r="J146" s="51"/>
    </row>
    <row r="147" spans="1:10" ht="14.25">
      <c r="A147" s="274"/>
      <c r="B147" s="256" t="s">
        <v>70</v>
      </c>
      <c r="C147" s="212" t="s">
        <v>71</v>
      </c>
      <c r="D147" s="212">
        <v>4000</v>
      </c>
      <c r="E147" s="269">
        <v>4</v>
      </c>
      <c r="F147" s="216">
        <v>0.056</v>
      </c>
      <c r="G147" s="215">
        <f aca="true" t="shared" si="6" ref="G147:G155">D147*E147*F147</f>
        <v>896</v>
      </c>
      <c r="H147" s="219">
        <f t="shared" si="5"/>
        <v>13902.095214786474</v>
      </c>
      <c r="I147" s="219"/>
      <c r="J147" s="51"/>
    </row>
    <row r="148" spans="1:10" ht="14.25">
      <c r="A148" s="274"/>
      <c r="B148" s="51" t="s">
        <v>72</v>
      </c>
      <c r="C148" s="212" t="s">
        <v>73</v>
      </c>
      <c r="D148" s="212">
        <v>4000</v>
      </c>
      <c r="E148" s="269">
        <v>3</v>
      </c>
      <c r="F148" s="216">
        <v>0.12</v>
      </c>
      <c r="G148" s="215">
        <f t="shared" si="6"/>
        <v>1440</v>
      </c>
      <c r="H148" s="219">
        <f t="shared" si="5"/>
        <v>22342.653023763978</v>
      </c>
      <c r="I148" s="219"/>
      <c r="J148" s="51"/>
    </row>
    <row r="149" spans="1:10" ht="14.25">
      <c r="A149" s="273"/>
      <c r="B149" s="268" t="s">
        <v>74</v>
      </c>
      <c r="C149" s="212" t="s">
        <v>73</v>
      </c>
      <c r="D149" s="212">
        <v>1000</v>
      </c>
      <c r="E149" s="269">
        <v>2</v>
      </c>
      <c r="F149" s="216">
        <v>0.062</v>
      </c>
      <c r="G149" s="215">
        <f t="shared" si="6"/>
        <v>124</v>
      </c>
      <c r="H149" s="219">
        <f t="shared" si="5"/>
        <v>1923.9506770463424</v>
      </c>
      <c r="I149" s="219"/>
      <c r="J149" s="51"/>
    </row>
    <row r="150" spans="1:10" ht="14.25">
      <c r="A150" s="274"/>
      <c r="B150" s="51" t="s">
        <v>75</v>
      </c>
      <c r="C150" s="212" t="s">
        <v>71</v>
      </c>
      <c r="D150" s="212">
        <v>1000</v>
      </c>
      <c r="E150" s="269">
        <v>3</v>
      </c>
      <c r="F150" s="216">
        <v>0.04</v>
      </c>
      <c r="G150" s="215">
        <f t="shared" si="6"/>
        <v>120</v>
      </c>
      <c r="H150" s="219">
        <f t="shared" si="5"/>
        <v>1861.8877519803314</v>
      </c>
      <c r="I150" s="219"/>
      <c r="J150" s="51"/>
    </row>
    <row r="151" spans="1:10" ht="14.25">
      <c r="A151" s="274"/>
      <c r="B151" s="51" t="s">
        <v>76</v>
      </c>
      <c r="C151" s="212" t="s">
        <v>71</v>
      </c>
      <c r="D151" s="212">
        <v>4000</v>
      </c>
      <c r="E151" s="269">
        <v>1</v>
      </c>
      <c r="F151" s="216">
        <v>0.03</v>
      </c>
      <c r="G151" s="215">
        <f t="shared" si="6"/>
        <v>120</v>
      </c>
      <c r="H151" s="219">
        <f t="shared" si="5"/>
        <v>1861.8877519803314</v>
      </c>
      <c r="I151" s="219"/>
      <c r="J151" s="51"/>
    </row>
    <row r="152" spans="1:10" ht="14.25">
      <c r="A152" s="274"/>
      <c r="B152" s="51" t="s">
        <v>77</v>
      </c>
      <c r="C152" s="212" t="s">
        <v>71</v>
      </c>
      <c r="D152" s="212">
        <v>4000</v>
      </c>
      <c r="E152" s="269">
        <v>1</v>
      </c>
      <c r="F152" s="216">
        <v>0.036</v>
      </c>
      <c r="G152" s="215">
        <f t="shared" si="6"/>
        <v>144</v>
      </c>
      <c r="H152" s="219">
        <f t="shared" si="5"/>
        <v>2234.265302376398</v>
      </c>
      <c r="I152" s="219"/>
      <c r="J152" s="51"/>
    </row>
    <row r="153" spans="1:10" ht="14.25">
      <c r="A153" s="274"/>
      <c r="B153" s="51" t="s">
        <v>78</v>
      </c>
      <c r="C153" s="212" t="s">
        <v>71</v>
      </c>
      <c r="D153" s="212">
        <v>50</v>
      </c>
      <c r="E153" s="269">
        <v>2</v>
      </c>
      <c r="F153" s="216">
        <v>0.019</v>
      </c>
      <c r="G153" s="215">
        <f t="shared" si="6"/>
        <v>1.9</v>
      </c>
      <c r="H153" s="219">
        <f t="shared" si="5"/>
        <v>29.479889406355245</v>
      </c>
      <c r="I153" s="219"/>
      <c r="J153" s="51"/>
    </row>
    <row r="154" spans="1:10" ht="14.25">
      <c r="A154" s="274"/>
      <c r="B154" s="51" t="s">
        <v>79</v>
      </c>
      <c r="C154" s="212" t="s">
        <v>71</v>
      </c>
      <c r="D154" s="212">
        <v>4000</v>
      </c>
      <c r="E154" s="269">
        <v>1</v>
      </c>
      <c r="F154" s="216">
        <v>0.056</v>
      </c>
      <c r="G154" s="215">
        <f t="shared" si="6"/>
        <v>224</v>
      </c>
      <c r="H154" s="219">
        <f t="shared" si="5"/>
        <v>3475.5238036966184</v>
      </c>
      <c r="I154" s="219"/>
      <c r="J154" s="51"/>
    </row>
    <row r="155" spans="1:10" ht="14.25">
      <c r="A155" s="256"/>
      <c r="B155" s="51" t="s">
        <v>81</v>
      </c>
      <c r="C155" s="212" t="s">
        <v>80</v>
      </c>
      <c r="D155" s="212">
        <v>5</v>
      </c>
      <c r="E155" s="269">
        <v>1</v>
      </c>
      <c r="F155" s="216">
        <v>19.2</v>
      </c>
      <c r="G155" s="215">
        <f t="shared" si="6"/>
        <v>96</v>
      </c>
      <c r="H155" s="219">
        <f t="shared" si="5"/>
        <v>1489.5102015842651</v>
      </c>
      <c r="I155" s="219"/>
      <c r="J155" s="51"/>
    </row>
    <row r="156" spans="1:10" ht="14.25">
      <c r="A156" s="256"/>
      <c r="B156" s="51" t="s">
        <v>249</v>
      </c>
      <c r="C156" s="212" t="s">
        <v>61</v>
      </c>
      <c r="D156" s="212">
        <v>2222</v>
      </c>
      <c r="E156" s="269">
        <v>1</v>
      </c>
      <c r="F156" s="216">
        <v>1</v>
      </c>
      <c r="G156" s="215">
        <v>2222</v>
      </c>
      <c r="H156" s="219">
        <f t="shared" si="5"/>
        <v>34475.95487416914</v>
      </c>
      <c r="I156" s="219"/>
      <c r="J156" s="51" t="s">
        <v>552</v>
      </c>
    </row>
    <row r="157" spans="1:10" ht="12.75">
      <c r="A157" s="256">
        <v>3</v>
      </c>
      <c r="B157" s="47" t="s">
        <v>118</v>
      </c>
      <c r="C157" s="212"/>
      <c r="D157" s="212"/>
      <c r="E157" s="215"/>
      <c r="F157" s="215"/>
      <c r="G157" s="215"/>
      <c r="H157" s="219">
        <f t="shared" si="5"/>
        <v>0</v>
      </c>
      <c r="I157" s="219"/>
      <c r="J157" s="51"/>
    </row>
    <row r="158" spans="1:10" ht="14.25">
      <c r="A158" s="274"/>
      <c r="B158" s="51" t="s">
        <v>86</v>
      </c>
      <c r="C158" s="212" t="s">
        <v>73</v>
      </c>
      <c r="D158" s="212">
        <v>2000</v>
      </c>
      <c r="E158" s="269">
        <v>3</v>
      </c>
      <c r="F158" s="216">
        <v>0.099</v>
      </c>
      <c r="G158" s="215">
        <f aca="true" t="shared" si="7" ref="G158:G163">D158*E158*F158</f>
        <v>594</v>
      </c>
      <c r="H158" s="219">
        <f t="shared" si="5"/>
        <v>9216.344372302641</v>
      </c>
      <c r="I158" s="219"/>
      <c r="J158" s="51"/>
    </row>
    <row r="159" spans="1:10" ht="14.25">
      <c r="A159" s="256"/>
      <c r="B159" s="51" t="s">
        <v>87</v>
      </c>
      <c r="C159" s="212" t="s">
        <v>73</v>
      </c>
      <c r="D159" s="212">
        <v>4000</v>
      </c>
      <c r="E159" s="269">
        <v>1</v>
      </c>
      <c r="F159" s="216">
        <v>0.048</v>
      </c>
      <c r="G159" s="215">
        <f t="shared" si="7"/>
        <v>192</v>
      </c>
      <c r="H159" s="219">
        <f t="shared" si="5"/>
        <v>2979.0204031685303</v>
      </c>
      <c r="I159" s="219"/>
      <c r="J159" s="51"/>
    </row>
    <row r="160" spans="1:10" ht="14.25">
      <c r="A160" s="273"/>
      <c r="B160" s="268" t="s">
        <v>88</v>
      </c>
      <c r="C160" s="212" t="s">
        <v>80</v>
      </c>
      <c r="D160" s="212">
        <v>67100</v>
      </c>
      <c r="E160" s="269">
        <v>3</v>
      </c>
      <c r="F160" s="216">
        <v>0.056</v>
      </c>
      <c r="G160" s="261">
        <f t="shared" si="7"/>
        <v>11272.800000000001</v>
      </c>
      <c r="H160" s="219">
        <f t="shared" si="5"/>
        <v>174905.73542103235</v>
      </c>
      <c r="I160" s="219"/>
      <c r="J160" s="51"/>
    </row>
    <row r="161" spans="1:10" ht="14.25">
      <c r="A161" s="256"/>
      <c r="B161" s="51" t="s">
        <v>89</v>
      </c>
      <c r="C161" s="212" t="s">
        <v>80</v>
      </c>
      <c r="D161" s="212">
        <v>80000</v>
      </c>
      <c r="E161" s="269">
        <v>1</v>
      </c>
      <c r="F161" s="216">
        <v>0.026</v>
      </c>
      <c r="G161" s="261">
        <f t="shared" si="7"/>
        <v>2080</v>
      </c>
      <c r="H161" s="219">
        <f t="shared" si="5"/>
        <v>32272.721034325743</v>
      </c>
      <c r="I161" s="219"/>
      <c r="J161" s="51"/>
    </row>
    <row r="162" spans="1:10" ht="14.25">
      <c r="A162" s="256"/>
      <c r="B162" s="51" t="s">
        <v>90</v>
      </c>
      <c r="C162" s="212" t="s">
        <v>80</v>
      </c>
      <c r="D162" s="212">
        <v>50000</v>
      </c>
      <c r="E162" s="269">
        <v>1</v>
      </c>
      <c r="F162" s="216">
        <v>0.013</v>
      </c>
      <c r="G162" s="261">
        <f t="shared" si="7"/>
        <v>650</v>
      </c>
      <c r="H162" s="219">
        <f t="shared" si="5"/>
        <v>10085.225323226796</v>
      </c>
      <c r="I162" s="219"/>
      <c r="J162" s="51"/>
    </row>
    <row r="163" spans="1:10" ht="14.25">
      <c r="A163" s="256"/>
      <c r="B163" s="51" t="s">
        <v>91</v>
      </c>
      <c r="C163" s="212" t="s">
        <v>66</v>
      </c>
      <c r="D163" s="212">
        <v>22834</v>
      </c>
      <c r="E163" s="269">
        <v>3</v>
      </c>
      <c r="F163" s="216">
        <v>0.156</v>
      </c>
      <c r="G163" s="261">
        <f t="shared" si="7"/>
        <v>10686.312</v>
      </c>
      <c r="H163" s="219">
        <f t="shared" si="5"/>
        <v>165805.94522200365</v>
      </c>
      <c r="I163" s="219"/>
      <c r="J163" s="51"/>
    </row>
    <row r="164" spans="1:10" ht="14.25">
      <c r="A164" s="256"/>
      <c r="B164" s="51" t="s">
        <v>422</v>
      </c>
      <c r="C164" s="212" t="s">
        <v>61</v>
      </c>
      <c r="D164" s="212">
        <v>710</v>
      </c>
      <c r="E164" s="269">
        <v>1</v>
      </c>
      <c r="F164" s="216">
        <v>1</v>
      </c>
      <c r="G164" s="261">
        <v>710</v>
      </c>
      <c r="H164" s="219">
        <f t="shared" si="5"/>
        <v>11016.169199216962</v>
      </c>
      <c r="I164" s="219"/>
      <c r="J164" s="51" t="s">
        <v>553</v>
      </c>
    </row>
    <row r="165" spans="1:10" ht="14.25">
      <c r="A165" s="256"/>
      <c r="B165" s="51" t="s">
        <v>423</v>
      </c>
      <c r="C165" s="212" t="s">
        <v>61</v>
      </c>
      <c r="D165" s="212">
        <v>800</v>
      </c>
      <c r="E165" s="269">
        <v>1</v>
      </c>
      <c r="F165" s="216">
        <v>1</v>
      </c>
      <c r="G165" s="261">
        <v>800</v>
      </c>
      <c r="H165" s="219">
        <f t="shared" si="5"/>
        <v>12412.58501320221</v>
      </c>
      <c r="I165" s="219"/>
      <c r="J165" s="51" t="s">
        <v>554</v>
      </c>
    </row>
    <row r="166" spans="1:10" ht="12.75">
      <c r="A166" s="256">
        <v>4</v>
      </c>
      <c r="B166" s="47" t="s">
        <v>97</v>
      </c>
      <c r="C166" s="212"/>
      <c r="D166" s="212"/>
      <c r="E166" s="215"/>
      <c r="F166" s="215"/>
      <c r="G166" s="215"/>
      <c r="H166" s="219">
        <f t="shared" si="5"/>
        <v>0</v>
      </c>
      <c r="I166" s="219"/>
      <c r="J166" s="51"/>
    </row>
    <row r="167" spans="1:10" ht="14.25">
      <c r="A167" s="256"/>
      <c r="B167" s="51" t="s">
        <v>98</v>
      </c>
      <c r="C167" s="212" t="s">
        <v>73</v>
      </c>
      <c r="D167" s="212">
        <v>5762</v>
      </c>
      <c r="E167" s="269">
        <v>2</v>
      </c>
      <c r="F167" s="216">
        <v>0.137</v>
      </c>
      <c r="G167" s="261">
        <f aca="true" t="shared" si="8" ref="G167:G177">D167*E167*F167</f>
        <v>1578.788</v>
      </c>
      <c r="H167" s="219">
        <f t="shared" si="5"/>
        <v>24496.050334779364</v>
      </c>
      <c r="I167" s="219"/>
      <c r="J167" s="51"/>
    </row>
    <row r="168" spans="1:10" ht="14.25">
      <c r="A168" s="256"/>
      <c r="B168" s="51" t="s">
        <v>99</v>
      </c>
      <c r="C168" s="212" t="s">
        <v>53</v>
      </c>
      <c r="D168" s="212">
        <v>70</v>
      </c>
      <c r="E168" s="269">
        <v>1</v>
      </c>
      <c r="F168" s="216">
        <v>3.448</v>
      </c>
      <c r="G168" s="261">
        <f t="shared" si="8"/>
        <v>241.35999999999999</v>
      </c>
      <c r="H168" s="219">
        <f t="shared" si="5"/>
        <v>3744.8768984831063</v>
      </c>
      <c r="I168" s="219"/>
      <c r="J168" s="51"/>
    </row>
    <row r="169" spans="1:10" ht="14.25">
      <c r="A169" s="273"/>
      <c r="B169" s="268" t="s">
        <v>100</v>
      </c>
      <c r="C169" s="212" t="s">
        <v>53</v>
      </c>
      <c r="D169" s="212">
        <v>80</v>
      </c>
      <c r="E169" s="269">
        <v>3</v>
      </c>
      <c r="F169" s="216">
        <v>6.667</v>
      </c>
      <c r="G169" s="261">
        <f t="shared" si="8"/>
        <v>1600.08</v>
      </c>
      <c r="H169" s="219">
        <f t="shared" si="5"/>
        <v>24826.41128490574</v>
      </c>
      <c r="I169" s="219"/>
      <c r="J169" s="51"/>
    </row>
    <row r="170" spans="1:10" ht="14.25">
      <c r="A170" s="256"/>
      <c r="B170" s="51" t="s">
        <v>101</v>
      </c>
      <c r="C170" s="212" t="s">
        <v>53</v>
      </c>
      <c r="D170" s="212">
        <v>99.11</v>
      </c>
      <c r="E170" s="269">
        <v>4</v>
      </c>
      <c r="F170" s="216">
        <v>0.273</v>
      </c>
      <c r="G170" s="261">
        <f t="shared" si="8"/>
        <v>108.22812</v>
      </c>
      <c r="H170" s="219">
        <f t="shared" si="5"/>
        <v>1679.238425398813</v>
      </c>
      <c r="I170" s="219"/>
      <c r="J170" s="51"/>
    </row>
    <row r="171" spans="1:10" ht="14.25">
      <c r="A171" s="256"/>
      <c r="B171" s="51" t="s">
        <v>102</v>
      </c>
      <c r="C171" s="212" t="s">
        <v>66</v>
      </c>
      <c r="D171" s="212">
        <v>35000</v>
      </c>
      <c r="E171" s="269">
        <v>1</v>
      </c>
      <c r="F171" s="216">
        <v>0.02</v>
      </c>
      <c r="G171" s="261">
        <f t="shared" si="8"/>
        <v>700</v>
      </c>
      <c r="H171" s="219">
        <f t="shared" si="5"/>
        <v>10861.011886551933</v>
      </c>
      <c r="I171" s="219"/>
      <c r="J171" s="51"/>
    </row>
    <row r="172" spans="1:10" ht="25.5">
      <c r="A172" s="273"/>
      <c r="B172" s="268" t="s">
        <v>103</v>
      </c>
      <c r="C172" s="212" t="s">
        <v>73</v>
      </c>
      <c r="D172" s="212">
        <v>1000</v>
      </c>
      <c r="E172" s="269">
        <v>1</v>
      </c>
      <c r="F172" s="216">
        <v>0.126</v>
      </c>
      <c r="G172" s="261">
        <f t="shared" si="8"/>
        <v>126</v>
      </c>
      <c r="H172" s="219">
        <f t="shared" si="5"/>
        <v>1954.982139579348</v>
      </c>
      <c r="I172" s="219"/>
      <c r="J172" s="51"/>
    </row>
    <row r="173" spans="1:10" ht="14.25">
      <c r="A173" s="273"/>
      <c r="B173" s="268" t="s">
        <v>104</v>
      </c>
      <c r="C173" s="212" t="s">
        <v>105</v>
      </c>
      <c r="D173" s="212">
        <v>100</v>
      </c>
      <c r="E173" s="269">
        <v>1</v>
      </c>
      <c r="F173" s="216">
        <v>7.111</v>
      </c>
      <c r="G173" s="261">
        <f t="shared" si="8"/>
        <v>711.1</v>
      </c>
      <c r="H173" s="219">
        <f t="shared" si="5"/>
        <v>11033.236503610115</v>
      </c>
      <c r="I173" s="219"/>
      <c r="J173" s="51"/>
    </row>
    <row r="174" spans="1:10" ht="14.25">
      <c r="A174" s="256"/>
      <c r="B174" s="268" t="s">
        <v>106</v>
      </c>
      <c r="C174" s="212" t="s">
        <v>105</v>
      </c>
      <c r="D174" s="212">
        <v>15</v>
      </c>
      <c r="E174" s="269">
        <v>1</v>
      </c>
      <c r="F174" s="216">
        <v>7.822</v>
      </c>
      <c r="G174" s="261">
        <f t="shared" si="8"/>
        <v>117.33</v>
      </c>
      <c r="H174" s="219">
        <f t="shared" si="5"/>
        <v>1820.460749498769</v>
      </c>
      <c r="I174" s="219"/>
      <c r="J174" s="51"/>
    </row>
    <row r="175" spans="1:10" ht="14.25">
      <c r="A175" s="256"/>
      <c r="B175" s="51" t="s">
        <v>107</v>
      </c>
      <c r="C175" s="212" t="s">
        <v>80</v>
      </c>
      <c r="D175" s="212">
        <v>1000</v>
      </c>
      <c r="E175" s="269">
        <v>1</v>
      </c>
      <c r="F175" s="216">
        <v>0.067</v>
      </c>
      <c r="G175" s="261">
        <f t="shared" si="8"/>
        <v>67</v>
      </c>
      <c r="H175" s="219">
        <f t="shared" si="5"/>
        <v>1039.553994855685</v>
      </c>
      <c r="I175" s="219"/>
      <c r="J175" s="51"/>
    </row>
    <row r="176" spans="1:10" ht="14.25">
      <c r="A176" s="256"/>
      <c r="B176" s="51" t="s">
        <v>108</v>
      </c>
      <c r="C176" s="212" t="s">
        <v>84</v>
      </c>
      <c r="D176" s="212">
        <v>144</v>
      </c>
      <c r="E176" s="269">
        <v>1</v>
      </c>
      <c r="F176" s="216">
        <v>1.111</v>
      </c>
      <c r="G176" s="261">
        <f t="shared" si="8"/>
        <v>159.984</v>
      </c>
      <c r="H176" s="219">
        <f t="shared" si="5"/>
        <v>2482.268750940178</v>
      </c>
      <c r="I176" s="219"/>
      <c r="J176" s="51"/>
    </row>
    <row r="177" spans="1:10" ht="14.25">
      <c r="A177" s="256"/>
      <c r="B177" s="51" t="s">
        <v>109</v>
      </c>
      <c r="C177" s="212" t="s">
        <v>73</v>
      </c>
      <c r="D177" s="212">
        <v>2738</v>
      </c>
      <c r="E177" s="269">
        <v>1</v>
      </c>
      <c r="F177" s="216">
        <v>0.034</v>
      </c>
      <c r="G177" s="261">
        <f t="shared" si="8"/>
        <v>93.09200000000001</v>
      </c>
      <c r="H177" s="219">
        <f t="shared" si="5"/>
        <v>1444.3904550612754</v>
      </c>
      <c r="I177" s="219"/>
      <c r="J177" s="51"/>
    </row>
    <row r="178" spans="1:10" ht="14.25">
      <c r="A178" s="256"/>
      <c r="B178" s="51" t="s">
        <v>477</v>
      </c>
      <c r="C178" s="212" t="s">
        <v>61</v>
      </c>
      <c r="D178" s="212">
        <v>1364</v>
      </c>
      <c r="E178" s="269">
        <v>1</v>
      </c>
      <c r="F178" s="216">
        <v>1</v>
      </c>
      <c r="G178" s="261">
        <v>1364</v>
      </c>
      <c r="H178" s="219">
        <f t="shared" si="5"/>
        <v>21163.45744750977</v>
      </c>
      <c r="I178" s="219"/>
      <c r="J178" s="51" t="s">
        <v>555</v>
      </c>
    </row>
    <row r="179" spans="1:10" ht="12.75">
      <c r="A179" s="256">
        <v>5</v>
      </c>
      <c r="B179" s="47" t="s">
        <v>111</v>
      </c>
      <c r="C179" s="212"/>
      <c r="D179" s="212"/>
      <c r="E179" s="215"/>
      <c r="F179" s="215"/>
      <c r="G179" s="215"/>
      <c r="H179" s="219">
        <f t="shared" si="5"/>
        <v>0</v>
      </c>
      <c r="I179" s="219"/>
      <c r="J179" s="51"/>
    </row>
    <row r="180" spans="1:10" ht="14.25">
      <c r="A180" s="212"/>
      <c r="B180" s="51" t="s">
        <v>112</v>
      </c>
      <c r="C180" s="212" t="s">
        <v>53</v>
      </c>
      <c r="D180" s="220">
        <v>700</v>
      </c>
      <c r="E180" s="269">
        <v>5</v>
      </c>
      <c r="F180" s="216">
        <v>0.65</v>
      </c>
      <c r="G180" s="215">
        <f>D180*E180*F180</f>
        <v>2275</v>
      </c>
      <c r="H180" s="219">
        <f t="shared" si="5"/>
        <v>35298.288631293784</v>
      </c>
      <c r="I180" s="219"/>
      <c r="J180" s="51"/>
    </row>
    <row r="181" spans="1:10" ht="14.25">
      <c r="A181" s="212"/>
      <c r="B181" s="51" t="s">
        <v>115</v>
      </c>
      <c r="C181" s="212" t="s">
        <v>61</v>
      </c>
      <c r="D181" s="212">
        <v>40</v>
      </c>
      <c r="E181" s="269">
        <v>5</v>
      </c>
      <c r="F181" s="216">
        <v>1</v>
      </c>
      <c r="G181" s="215">
        <f>D181*E181*F181</f>
        <v>200</v>
      </c>
      <c r="H181" s="219">
        <f t="shared" si="5"/>
        <v>3103.1462533005524</v>
      </c>
      <c r="I181" s="219"/>
      <c r="J181" s="51"/>
    </row>
    <row r="182" spans="1:10" ht="14.25">
      <c r="A182" s="212"/>
      <c r="B182" s="51" t="s">
        <v>116</v>
      </c>
      <c r="C182" s="212" t="s">
        <v>61</v>
      </c>
      <c r="D182" s="212">
        <f>30*8</f>
        <v>240</v>
      </c>
      <c r="E182" s="269">
        <v>8</v>
      </c>
      <c r="F182" s="216">
        <v>1</v>
      </c>
      <c r="G182" s="215">
        <f>D182*E182*F182</f>
        <v>1920</v>
      </c>
      <c r="H182" s="219">
        <f t="shared" si="5"/>
        <v>29790.2040316853</v>
      </c>
      <c r="I182" s="219"/>
      <c r="J182" s="51"/>
    </row>
    <row r="183" spans="1:10" ht="14.25">
      <c r="A183" s="212"/>
      <c r="B183" s="93" t="s">
        <v>413</v>
      </c>
      <c r="C183" s="224"/>
      <c r="D183" s="224"/>
      <c r="E183" s="269"/>
      <c r="F183" s="216"/>
      <c r="G183" s="245">
        <f>SUM(G135:G182)</f>
        <v>58464.33912</v>
      </c>
      <c r="H183" s="218">
        <f t="shared" si="5"/>
        <v>907116.9744596045</v>
      </c>
      <c r="I183" s="218"/>
      <c r="J183" s="51"/>
    </row>
    <row r="184" spans="1:10" ht="14.25">
      <c r="A184" s="212">
        <v>6</v>
      </c>
      <c r="B184" s="93" t="s">
        <v>505</v>
      </c>
      <c r="C184" s="212"/>
      <c r="D184" s="212"/>
      <c r="E184" s="269"/>
      <c r="F184" s="216"/>
      <c r="G184" s="205" t="s">
        <v>476</v>
      </c>
      <c r="H184" s="219"/>
      <c r="I184" s="219"/>
      <c r="J184" s="51"/>
    </row>
    <row r="185" spans="1:10" ht="14.25">
      <c r="A185" s="212"/>
      <c r="B185" s="51" t="s">
        <v>543</v>
      </c>
      <c r="C185" s="215" t="s">
        <v>476</v>
      </c>
      <c r="D185" s="212">
        <v>290</v>
      </c>
      <c r="E185" s="269">
        <v>1</v>
      </c>
      <c r="F185" s="216">
        <v>1</v>
      </c>
      <c r="G185" s="212">
        <v>290</v>
      </c>
      <c r="H185" s="219">
        <f aca="true" t="shared" si="9" ref="H185:H192">917978/59164.34*G185</f>
        <v>4499.562067285801</v>
      </c>
      <c r="I185" s="219"/>
      <c r="J185" s="51"/>
    </row>
    <row r="186" spans="1:10" ht="25.5">
      <c r="A186" s="212"/>
      <c r="B186" s="268" t="s">
        <v>546</v>
      </c>
      <c r="C186" s="215" t="s">
        <v>476</v>
      </c>
      <c r="D186" s="212">
        <v>210</v>
      </c>
      <c r="E186" s="269">
        <v>1</v>
      </c>
      <c r="F186" s="216">
        <v>1</v>
      </c>
      <c r="G186" s="212">
        <v>210</v>
      </c>
      <c r="H186" s="219">
        <f t="shared" si="9"/>
        <v>3258.3035659655798</v>
      </c>
      <c r="I186" s="219"/>
      <c r="J186" s="51"/>
    </row>
    <row r="187" spans="1:10" ht="14.25">
      <c r="A187" s="212"/>
      <c r="B187" s="51" t="s">
        <v>444</v>
      </c>
      <c r="C187" s="215" t="s">
        <v>476</v>
      </c>
      <c r="D187" s="212">
        <v>30</v>
      </c>
      <c r="E187" s="269">
        <v>1</v>
      </c>
      <c r="F187" s="216">
        <v>1</v>
      </c>
      <c r="G187" s="212">
        <v>30</v>
      </c>
      <c r="H187" s="219">
        <f t="shared" si="9"/>
        <v>465.47193799508284</v>
      </c>
      <c r="I187" s="219"/>
      <c r="J187" s="51"/>
    </row>
    <row r="188" spans="1:10" ht="14.25">
      <c r="A188" s="212"/>
      <c r="B188" s="51" t="s">
        <v>521</v>
      </c>
      <c r="C188" s="215" t="s">
        <v>476</v>
      </c>
      <c r="D188" s="212">
        <v>30</v>
      </c>
      <c r="E188" s="269">
        <v>1</v>
      </c>
      <c r="F188" s="216">
        <v>1</v>
      </c>
      <c r="G188" s="212">
        <v>30</v>
      </c>
      <c r="H188" s="219">
        <f t="shared" si="9"/>
        <v>465.47193799508284</v>
      </c>
      <c r="I188" s="219"/>
      <c r="J188" s="51"/>
    </row>
    <row r="189" spans="1:10" ht="14.25">
      <c r="A189" s="212"/>
      <c r="B189" s="51" t="s">
        <v>445</v>
      </c>
      <c r="C189" s="215" t="s">
        <v>476</v>
      </c>
      <c r="D189" s="212">
        <v>40</v>
      </c>
      <c r="E189" s="269">
        <v>1</v>
      </c>
      <c r="F189" s="216">
        <v>1</v>
      </c>
      <c r="G189" s="212">
        <v>40</v>
      </c>
      <c r="H189" s="219">
        <f t="shared" si="9"/>
        <v>620.6292506601105</v>
      </c>
      <c r="I189" s="219"/>
      <c r="J189" s="51"/>
    </row>
    <row r="190" spans="1:10" ht="14.25">
      <c r="A190" s="212"/>
      <c r="B190" s="51" t="s">
        <v>488</v>
      </c>
      <c r="C190" s="215" t="s">
        <v>476</v>
      </c>
      <c r="D190" s="212">
        <v>24</v>
      </c>
      <c r="E190" s="269">
        <v>1</v>
      </c>
      <c r="F190" s="216">
        <v>1</v>
      </c>
      <c r="G190" s="212">
        <v>24</v>
      </c>
      <c r="H190" s="219">
        <f t="shared" si="9"/>
        <v>372.3775503960663</v>
      </c>
      <c r="I190" s="219"/>
      <c r="J190" s="51"/>
    </row>
    <row r="191" spans="1:10" ht="14.25">
      <c r="A191" s="212"/>
      <c r="B191" s="51" t="s">
        <v>446</v>
      </c>
      <c r="C191" s="215" t="s">
        <v>476</v>
      </c>
      <c r="D191" s="212">
        <v>60</v>
      </c>
      <c r="E191" s="269">
        <v>1</v>
      </c>
      <c r="F191" s="216">
        <v>1</v>
      </c>
      <c r="G191" s="212">
        <v>60</v>
      </c>
      <c r="H191" s="219">
        <f t="shared" si="9"/>
        <v>930.9438759901657</v>
      </c>
      <c r="I191" s="219"/>
      <c r="J191" s="51"/>
    </row>
    <row r="192" spans="1:10" ht="14.25">
      <c r="A192" s="212"/>
      <c r="B192" s="51" t="s">
        <v>489</v>
      </c>
      <c r="C192" s="215" t="s">
        <v>476</v>
      </c>
      <c r="D192" s="212">
        <v>16</v>
      </c>
      <c r="E192" s="269">
        <v>1</v>
      </c>
      <c r="F192" s="216">
        <v>1</v>
      </c>
      <c r="G192" s="212">
        <v>16</v>
      </c>
      <c r="H192" s="219">
        <f t="shared" si="9"/>
        <v>248.2517002640442</v>
      </c>
      <c r="I192" s="219"/>
      <c r="J192" s="51"/>
    </row>
    <row r="193" spans="1:10" ht="14.25">
      <c r="A193" s="212"/>
      <c r="B193" s="47" t="s">
        <v>413</v>
      </c>
      <c r="C193" s="215"/>
      <c r="D193" s="212"/>
      <c r="E193" s="269"/>
      <c r="F193" s="216"/>
      <c r="G193" s="208">
        <f>SUM(G185:G192)</f>
        <v>700</v>
      </c>
      <c r="H193" s="218">
        <f>SUM(H185:H192)</f>
        <v>10861.011886551933</v>
      </c>
      <c r="I193" s="218"/>
      <c r="J193" s="51"/>
    </row>
    <row r="194" spans="1:10" ht="15">
      <c r="A194" s="212"/>
      <c r="B194" s="93" t="s">
        <v>524</v>
      </c>
      <c r="C194" s="215"/>
      <c r="D194" s="212"/>
      <c r="E194" s="269"/>
      <c r="F194" s="216"/>
      <c r="G194" s="240">
        <f>G183+G193</f>
        <v>59164.33912</v>
      </c>
      <c r="H194" s="254">
        <f>H183+H193</f>
        <v>917977.9863461565</v>
      </c>
      <c r="I194" s="254"/>
      <c r="J194" s="51"/>
    </row>
    <row r="195" spans="1:10" ht="12.75">
      <c r="A195" s="212">
        <v>7</v>
      </c>
      <c r="B195" s="47" t="s">
        <v>120</v>
      </c>
      <c r="C195" s="51"/>
      <c r="D195" s="51"/>
      <c r="E195" s="205"/>
      <c r="F195" s="205"/>
      <c r="G195" s="207">
        <f>G196+G197+G198</f>
        <v>1442</v>
      </c>
      <c r="H195" s="235">
        <f>H196+H197+H198</f>
        <v>17250</v>
      </c>
      <c r="I195" s="218">
        <f>I196+I197+I198</f>
        <v>13625.56</v>
      </c>
      <c r="J195" s="205" t="s">
        <v>386</v>
      </c>
    </row>
    <row r="196" spans="1:10" ht="12.75">
      <c r="A196" s="212"/>
      <c r="B196" s="51" t="s">
        <v>243</v>
      </c>
      <c r="C196" s="212" t="s">
        <v>242</v>
      </c>
      <c r="D196" s="205">
        <v>746</v>
      </c>
      <c r="E196" s="215"/>
      <c r="F196" s="215"/>
      <c r="G196" s="260">
        <v>507</v>
      </c>
      <c r="H196" s="235">
        <f>1496+4513+1659</f>
        <v>7668</v>
      </c>
      <c r="I196" s="235">
        <f>1526.96+3969+1459</f>
        <v>6954.96</v>
      </c>
      <c r="J196" s="205" t="s">
        <v>334</v>
      </c>
    </row>
    <row r="197" spans="1:10" ht="12.75">
      <c r="A197" s="212"/>
      <c r="B197" s="51" t="s">
        <v>244</v>
      </c>
      <c r="C197" s="212" t="s">
        <v>53</v>
      </c>
      <c r="D197" s="212">
        <v>8.15</v>
      </c>
      <c r="E197" s="215"/>
      <c r="F197" s="215"/>
      <c r="G197" s="260">
        <v>224</v>
      </c>
      <c r="H197" s="235">
        <f>234+2073+762</f>
        <v>3069</v>
      </c>
      <c r="I197" s="218">
        <f>234+2073+762</f>
        <v>3069</v>
      </c>
      <c r="J197" s="205" t="s">
        <v>335</v>
      </c>
    </row>
    <row r="198" spans="1:10" ht="12.75">
      <c r="A198" s="212"/>
      <c r="B198" s="51" t="s">
        <v>246</v>
      </c>
      <c r="C198" s="212" t="s">
        <v>53</v>
      </c>
      <c r="D198" s="205">
        <v>75</v>
      </c>
      <c r="E198" s="215"/>
      <c r="F198" s="215"/>
      <c r="G198" s="260">
        <v>711</v>
      </c>
      <c r="H198" s="235">
        <f>1500+1594+2500+919</f>
        <v>6513</v>
      </c>
      <c r="I198" s="218">
        <f>1593.6+1468+540</f>
        <v>3601.6</v>
      </c>
      <c r="J198" s="205" t="s">
        <v>333</v>
      </c>
    </row>
    <row r="199" spans="1:10" ht="12.75">
      <c r="A199" s="205"/>
      <c r="B199" s="47" t="s">
        <v>228</v>
      </c>
      <c r="C199" s="212"/>
      <c r="D199" s="205"/>
      <c r="E199" s="205"/>
      <c r="F199" s="205"/>
      <c r="G199" s="272"/>
      <c r="H199" s="235">
        <f>H200+H201</f>
        <v>9000</v>
      </c>
      <c r="I199" s="235">
        <f>I200+I201</f>
        <v>0</v>
      </c>
      <c r="J199" s="51"/>
    </row>
    <row r="200" spans="1:10" ht="12.75">
      <c r="A200" s="205"/>
      <c r="B200" s="47" t="s">
        <v>121</v>
      </c>
      <c r="C200" s="212" t="s">
        <v>80</v>
      </c>
      <c r="D200" s="215"/>
      <c r="E200" s="215"/>
      <c r="F200" s="215"/>
      <c r="G200" s="260"/>
      <c r="H200" s="223">
        <v>0</v>
      </c>
      <c r="I200" s="223">
        <v>0</v>
      </c>
      <c r="J200" s="51"/>
    </row>
    <row r="201" spans="1:10" ht="12.75">
      <c r="A201" s="205"/>
      <c r="B201" s="47" t="s">
        <v>492</v>
      </c>
      <c r="C201" s="212" t="s">
        <v>80</v>
      </c>
      <c r="D201" s="215">
        <v>2</v>
      </c>
      <c r="E201" s="215"/>
      <c r="F201" s="215"/>
      <c r="G201" s="260"/>
      <c r="H201" s="223">
        <v>9000</v>
      </c>
      <c r="I201" s="223">
        <v>0</v>
      </c>
      <c r="J201" s="51"/>
    </row>
    <row r="202" spans="1:11" ht="15">
      <c r="A202" s="205"/>
      <c r="B202" s="93" t="s">
        <v>276</v>
      </c>
      <c r="C202" s="231"/>
      <c r="D202" s="231"/>
      <c r="E202" s="231"/>
      <c r="F202" s="231"/>
      <c r="G202" s="245"/>
      <c r="H202" s="206">
        <f>H194+H195+H199</f>
        <v>944227.9863461565</v>
      </c>
      <c r="I202" s="206"/>
      <c r="J202" s="51"/>
      <c r="K202" s="186"/>
    </row>
    <row r="203" spans="1:10" ht="12.75">
      <c r="A203" s="421" t="s">
        <v>221</v>
      </c>
      <c r="B203" s="422"/>
      <c r="C203" s="422"/>
      <c r="D203" s="422"/>
      <c r="E203" s="422"/>
      <c r="F203" s="422"/>
      <c r="G203" s="422"/>
      <c r="H203" s="422"/>
      <c r="I203" s="185"/>
      <c r="J203" s="51"/>
    </row>
    <row r="204" spans="1:10" ht="12.75">
      <c r="A204" s="421" t="s">
        <v>265</v>
      </c>
      <c r="B204" s="422"/>
      <c r="C204" s="422"/>
      <c r="D204" s="422"/>
      <c r="E204" s="422"/>
      <c r="F204" s="422"/>
      <c r="G204" s="422"/>
      <c r="H204" s="422"/>
      <c r="I204" s="185"/>
      <c r="J204" s="51"/>
    </row>
    <row r="205" spans="1:10" ht="12.75">
      <c r="A205" s="212">
        <v>1</v>
      </c>
      <c r="B205" s="51" t="s">
        <v>127</v>
      </c>
      <c r="C205" s="212" t="s">
        <v>53</v>
      </c>
      <c r="D205" s="211">
        <f>379+2.05+7</f>
        <v>388.05</v>
      </c>
      <c r="E205" s="271">
        <v>220</v>
      </c>
      <c r="F205" s="243">
        <v>0.162</v>
      </c>
      <c r="G205" s="261">
        <f aca="true" t="shared" si="10" ref="G205:G231">D205*E205*F205</f>
        <v>13830.102</v>
      </c>
      <c r="H205" s="219">
        <f aca="true" t="shared" si="11" ref="H205:H231">481166/40423.48*G205</f>
        <v>164621.52340501113</v>
      </c>
      <c r="I205" s="219"/>
      <c r="J205" s="51"/>
    </row>
    <row r="206" spans="1:10" ht="12.75">
      <c r="A206" s="212">
        <v>2</v>
      </c>
      <c r="B206" s="51" t="s">
        <v>128</v>
      </c>
      <c r="C206" s="212" t="s">
        <v>53</v>
      </c>
      <c r="D206" s="212">
        <v>498.66</v>
      </c>
      <c r="E206" s="271">
        <v>180</v>
      </c>
      <c r="F206" s="243">
        <v>0.03</v>
      </c>
      <c r="G206" s="261">
        <f t="shared" si="10"/>
        <v>2692.764</v>
      </c>
      <c r="H206" s="219">
        <f t="shared" si="11"/>
        <v>32052.324115192456</v>
      </c>
      <c r="I206" s="219"/>
      <c r="J206" s="51"/>
    </row>
    <row r="207" spans="1:10" ht="12.75">
      <c r="A207" s="212">
        <v>3</v>
      </c>
      <c r="B207" s="51" t="s">
        <v>129</v>
      </c>
      <c r="C207" s="212" t="s">
        <v>80</v>
      </c>
      <c r="D207" s="212">
        <v>205</v>
      </c>
      <c r="E207" s="243">
        <v>220</v>
      </c>
      <c r="F207" s="243">
        <v>0.125</v>
      </c>
      <c r="G207" s="261">
        <f t="shared" si="10"/>
        <v>5637.5</v>
      </c>
      <c r="H207" s="219">
        <f t="shared" si="11"/>
        <v>67103.90409237402</v>
      </c>
      <c r="I207" s="219"/>
      <c r="J207" s="51"/>
    </row>
    <row r="208" spans="1:10" ht="12.75">
      <c r="A208" s="212">
        <v>4</v>
      </c>
      <c r="B208" s="51" t="s">
        <v>130</v>
      </c>
      <c r="C208" s="212" t="s">
        <v>53</v>
      </c>
      <c r="D208" s="212">
        <v>406.39</v>
      </c>
      <c r="E208" s="243">
        <v>3</v>
      </c>
      <c r="F208" s="243">
        <v>1.6</v>
      </c>
      <c r="G208" s="261">
        <f t="shared" si="10"/>
        <v>1950.6720000000003</v>
      </c>
      <c r="H208" s="219">
        <f t="shared" si="11"/>
        <v>23219.10541972141</v>
      </c>
      <c r="I208" s="219"/>
      <c r="J208" s="51"/>
    </row>
    <row r="209" spans="1:10" ht="12.75">
      <c r="A209" s="212">
        <v>5</v>
      </c>
      <c r="B209" s="51" t="s">
        <v>131</v>
      </c>
      <c r="C209" s="212"/>
      <c r="D209" s="212"/>
      <c r="E209" s="243"/>
      <c r="F209" s="243"/>
      <c r="G209" s="261">
        <f t="shared" si="10"/>
        <v>0</v>
      </c>
      <c r="H209" s="219">
        <f t="shared" si="11"/>
        <v>0</v>
      </c>
      <c r="I209" s="219"/>
      <c r="J209" s="51"/>
    </row>
    <row r="210" spans="1:10" ht="12.75">
      <c r="A210" s="212"/>
      <c r="B210" s="51" t="s">
        <v>132</v>
      </c>
      <c r="C210" s="212" t="s">
        <v>73</v>
      </c>
      <c r="D210" s="212">
        <v>4523</v>
      </c>
      <c r="E210" s="243">
        <v>1</v>
      </c>
      <c r="F210" s="243">
        <v>0.19</v>
      </c>
      <c r="G210" s="261">
        <f t="shared" si="10"/>
        <v>859.37</v>
      </c>
      <c r="H210" s="219">
        <f t="shared" si="11"/>
        <v>10229.19415696026</v>
      </c>
      <c r="I210" s="219"/>
      <c r="J210" s="51"/>
    </row>
    <row r="211" spans="1:10" ht="12.75">
      <c r="A211" s="212"/>
      <c r="B211" s="51" t="s">
        <v>133</v>
      </c>
      <c r="C211" s="212" t="s">
        <v>73</v>
      </c>
      <c r="D211" s="212">
        <v>1802.4</v>
      </c>
      <c r="E211" s="243">
        <v>1</v>
      </c>
      <c r="F211" s="243">
        <v>0.263</v>
      </c>
      <c r="G211" s="261">
        <f t="shared" si="10"/>
        <v>474.03120000000007</v>
      </c>
      <c r="H211" s="219">
        <f t="shared" si="11"/>
        <v>5642.455730659508</v>
      </c>
      <c r="I211" s="219"/>
      <c r="J211" s="51"/>
    </row>
    <row r="212" spans="1:10" ht="12.75">
      <c r="A212" s="212">
        <v>6</v>
      </c>
      <c r="B212" s="51" t="s">
        <v>134</v>
      </c>
      <c r="C212" s="212" t="s">
        <v>135</v>
      </c>
      <c r="D212" s="212">
        <v>3.5</v>
      </c>
      <c r="E212" s="243">
        <v>14</v>
      </c>
      <c r="F212" s="243">
        <v>1.35</v>
      </c>
      <c r="G212" s="261">
        <f t="shared" si="10"/>
        <v>66.15</v>
      </c>
      <c r="H212" s="219">
        <f t="shared" si="11"/>
        <v>787.3921517890097</v>
      </c>
      <c r="I212" s="219"/>
      <c r="J212" s="51"/>
    </row>
    <row r="213" spans="1:10" ht="12.75">
      <c r="A213" s="212">
        <v>7</v>
      </c>
      <c r="B213" s="51" t="s">
        <v>136</v>
      </c>
      <c r="C213" s="212" t="s">
        <v>84</v>
      </c>
      <c r="D213" s="212">
        <v>2</v>
      </c>
      <c r="E213" s="243">
        <v>12</v>
      </c>
      <c r="F213" s="243">
        <v>2.1</v>
      </c>
      <c r="G213" s="261">
        <f t="shared" si="10"/>
        <v>50.400000000000006</v>
      </c>
      <c r="H213" s="219">
        <f t="shared" si="11"/>
        <v>599.9178299344836</v>
      </c>
      <c r="I213" s="219"/>
      <c r="J213" s="51"/>
    </row>
    <row r="214" spans="1:10" ht="12.75">
      <c r="A214" s="212">
        <v>8</v>
      </c>
      <c r="B214" s="51" t="s">
        <v>137</v>
      </c>
      <c r="C214" s="212" t="s">
        <v>135</v>
      </c>
      <c r="D214" s="212">
        <v>1.5</v>
      </c>
      <c r="E214" s="243">
        <v>50</v>
      </c>
      <c r="F214" s="243">
        <v>2.75</v>
      </c>
      <c r="G214" s="261">
        <f t="shared" si="10"/>
        <v>206.25</v>
      </c>
      <c r="H214" s="219">
        <f t="shared" si="11"/>
        <v>2455.0208814283183</v>
      </c>
      <c r="I214" s="219"/>
      <c r="J214" s="51"/>
    </row>
    <row r="215" spans="1:10" ht="12.75">
      <c r="A215" s="212">
        <v>9</v>
      </c>
      <c r="B215" s="51" t="s">
        <v>138</v>
      </c>
      <c r="C215" s="212" t="s">
        <v>135</v>
      </c>
      <c r="D215" s="212">
        <v>1.5</v>
      </c>
      <c r="E215" s="243">
        <v>50</v>
      </c>
      <c r="F215" s="243">
        <v>3.25</v>
      </c>
      <c r="G215" s="261">
        <f t="shared" si="10"/>
        <v>243.75</v>
      </c>
      <c r="H215" s="219">
        <f t="shared" si="11"/>
        <v>2901.388314415285</v>
      </c>
      <c r="I215" s="219"/>
      <c r="J215" s="51"/>
    </row>
    <row r="216" spans="1:10" ht="12.75">
      <c r="A216" s="212">
        <v>10</v>
      </c>
      <c r="B216" s="51" t="s">
        <v>139</v>
      </c>
      <c r="C216" s="212" t="s">
        <v>53</v>
      </c>
      <c r="D216" s="212">
        <v>249.56</v>
      </c>
      <c r="E216" s="243">
        <v>12</v>
      </c>
      <c r="F216" s="243">
        <v>0.03</v>
      </c>
      <c r="G216" s="261">
        <f t="shared" si="10"/>
        <v>89.8416</v>
      </c>
      <c r="H216" s="219">
        <f t="shared" si="11"/>
        <v>1069.3963831317838</v>
      </c>
      <c r="I216" s="219"/>
      <c r="J216" s="51"/>
    </row>
    <row r="217" spans="1:10" ht="12.75">
      <c r="A217" s="212">
        <v>11</v>
      </c>
      <c r="B217" s="51" t="s">
        <v>140</v>
      </c>
      <c r="C217" s="212" t="s">
        <v>53</v>
      </c>
      <c r="D217" s="212">
        <v>169.47</v>
      </c>
      <c r="E217" s="243">
        <v>40</v>
      </c>
      <c r="F217" s="243">
        <v>0.03</v>
      </c>
      <c r="G217" s="261">
        <f t="shared" si="10"/>
        <v>203.364</v>
      </c>
      <c r="H217" s="219">
        <f t="shared" si="11"/>
        <v>2420.668443785641</v>
      </c>
      <c r="I217" s="219"/>
      <c r="J217" s="51"/>
    </row>
    <row r="218" spans="1:10" ht="12.75">
      <c r="A218" s="212">
        <v>12</v>
      </c>
      <c r="B218" s="51" t="s">
        <v>141</v>
      </c>
      <c r="C218" s="212" t="s">
        <v>53</v>
      </c>
      <c r="D218" s="212">
        <v>4.45</v>
      </c>
      <c r="E218" s="243">
        <v>6</v>
      </c>
      <c r="F218" s="243">
        <v>6.25</v>
      </c>
      <c r="G218" s="261">
        <f t="shared" si="10"/>
        <v>166.87500000000003</v>
      </c>
      <c r="H218" s="219">
        <f t="shared" si="11"/>
        <v>1986.335076792003</v>
      </c>
      <c r="I218" s="219"/>
      <c r="J218" s="51"/>
    </row>
    <row r="219" spans="1:10" ht="12.75">
      <c r="A219" s="212">
        <v>13</v>
      </c>
      <c r="B219" s="51" t="s">
        <v>142</v>
      </c>
      <c r="C219" s="212" t="s">
        <v>73</v>
      </c>
      <c r="D219" s="212">
        <v>495</v>
      </c>
      <c r="E219" s="243">
        <v>6</v>
      </c>
      <c r="F219" s="243">
        <v>0.075</v>
      </c>
      <c r="G219" s="261">
        <f t="shared" si="10"/>
        <v>222.75</v>
      </c>
      <c r="H219" s="219">
        <f t="shared" si="11"/>
        <v>2651.4225519425836</v>
      </c>
      <c r="I219" s="219"/>
      <c r="J219" s="51"/>
    </row>
    <row r="220" spans="1:10" ht="12.75">
      <c r="A220" s="212">
        <v>14</v>
      </c>
      <c r="B220" s="51" t="s">
        <v>143</v>
      </c>
      <c r="C220" s="212" t="s">
        <v>53</v>
      </c>
      <c r="D220" s="212">
        <v>377.28</v>
      </c>
      <c r="E220" s="243">
        <v>6</v>
      </c>
      <c r="F220" s="243">
        <v>0.427</v>
      </c>
      <c r="G220" s="261">
        <f t="shared" si="10"/>
        <v>966.5913599999999</v>
      </c>
      <c r="H220" s="219">
        <f t="shared" si="11"/>
        <v>11505.464109615497</v>
      </c>
      <c r="I220" s="219"/>
      <c r="J220" s="51"/>
    </row>
    <row r="221" spans="1:10" ht="12.75">
      <c r="A221" s="212">
        <v>15</v>
      </c>
      <c r="B221" s="51" t="s">
        <v>144</v>
      </c>
      <c r="C221" s="212" t="s">
        <v>53</v>
      </c>
      <c r="D221" s="212">
        <v>377.32</v>
      </c>
      <c r="E221" s="243">
        <v>6</v>
      </c>
      <c r="F221" s="243">
        <v>1.6</v>
      </c>
      <c r="G221" s="261">
        <f t="shared" si="10"/>
        <v>3622.2720000000004</v>
      </c>
      <c r="H221" s="219">
        <f t="shared" si="11"/>
        <v>43116.380112548446</v>
      </c>
      <c r="I221" s="219"/>
      <c r="J221" s="51"/>
    </row>
    <row r="222" spans="1:10" ht="12.75">
      <c r="A222" s="212">
        <v>16</v>
      </c>
      <c r="B222" s="51" t="s">
        <v>145</v>
      </c>
      <c r="C222" s="212"/>
      <c r="D222" s="212"/>
      <c r="E222" s="243"/>
      <c r="F222" s="243"/>
      <c r="G222" s="261">
        <f t="shared" si="10"/>
        <v>0</v>
      </c>
      <c r="H222" s="219">
        <f t="shared" si="11"/>
        <v>0</v>
      </c>
      <c r="I222" s="219"/>
      <c r="J222" s="51"/>
    </row>
    <row r="223" spans="1:10" ht="12.75">
      <c r="A223" s="212"/>
      <c r="B223" s="51" t="s">
        <v>146</v>
      </c>
      <c r="C223" s="212"/>
      <c r="D223" s="212"/>
      <c r="E223" s="243"/>
      <c r="F223" s="243"/>
      <c r="G223" s="261">
        <f t="shared" si="10"/>
        <v>0</v>
      </c>
      <c r="H223" s="219">
        <f t="shared" si="11"/>
        <v>0</v>
      </c>
      <c r="I223" s="219"/>
      <c r="J223" s="51"/>
    </row>
    <row r="224" spans="1:10" ht="12.75">
      <c r="A224" s="212"/>
      <c r="B224" s="51" t="s">
        <v>147</v>
      </c>
      <c r="C224" s="212" t="s">
        <v>53</v>
      </c>
      <c r="D224" s="212">
        <v>73.35</v>
      </c>
      <c r="E224" s="243">
        <v>42</v>
      </c>
      <c r="F224" s="243">
        <v>1.21</v>
      </c>
      <c r="G224" s="261">
        <f t="shared" si="10"/>
        <v>3727.6469999999995</v>
      </c>
      <c r="H224" s="219">
        <f t="shared" si="11"/>
        <v>44370.672599241814</v>
      </c>
      <c r="I224" s="219"/>
      <c r="J224" s="51"/>
    </row>
    <row r="225" spans="1:10" ht="12.75">
      <c r="A225" s="212"/>
      <c r="B225" s="51" t="s">
        <v>148</v>
      </c>
      <c r="C225" s="212" t="s">
        <v>53</v>
      </c>
      <c r="D225" s="212">
        <v>73.35</v>
      </c>
      <c r="E225" s="243">
        <v>20</v>
      </c>
      <c r="F225" s="243">
        <v>1.43</v>
      </c>
      <c r="G225" s="261">
        <f t="shared" si="10"/>
        <v>2097.81</v>
      </c>
      <c r="H225" s="219">
        <f t="shared" si="11"/>
        <v>24970.50838918371</v>
      </c>
      <c r="I225" s="219"/>
      <c r="J225" s="51"/>
    </row>
    <row r="226" spans="1:10" ht="12.75">
      <c r="A226" s="212">
        <v>17</v>
      </c>
      <c r="B226" s="51" t="s">
        <v>149</v>
      </c>
      <c r="C226" s="212" t="s">
        <v>53</v>
      </c>
      <c r="D226" s="212">
        <v>79.3</v>
      </c>
      <c r="E226" s="243">
        <v>40</v>
      </c>
      <c r="F226" s="243">
        <v>0.4</v>
      </c>
      <c r="G226" s="261">
        <f t="shared" si="10"/>
        <v>1268.8000000000002</v>
      </c>
      <c r="H226" s="219">
        <f t="shared" si="11"/>
        <v>15102.693305969698</v>
      </c>
      <c r="I226" s="219"/>
      <c r="J226" s="51"/>
    </row>
    <row r="227" spans="1:10" ht="12.75">
      <c r="A227" s="212">
        <v>18</v>
      </c>
      <c r="B227" s="51" t="s">
        <v>150</v>
      </c>
      <c r="C227" s="212" t="s">
        <v>80</v>
      </c>
      <c r="D227" s="212">
        <v>140</v>
      </c>
      <c r="E227" s="243">
        <v>20</v>
      </c>
      <c r="F227" s="243">
        <v>0.04</v>
      </c>
      <c r="G227" s="261">
        <f t="shared" si="10"/>
        <v>112</v>
      </c>
      <c r="H227" s="219">
        <f t="shared" si="11"/>
        <v>1333.1507331877413</v>
      </c>
      <c r="I227" s="219"/>
      <c r="J227" s="51"/>
    </row>
    <row r="228" spans="1:10" ht="12.75">
      <c r="A228" s="212">
        <v>19</v>
      </c>
      <c r="B228" s="51" t="s">
        <v>151</v>
      </c>
      <c r="C228" s="212"/>
      <c r="D228" s="212"/>
      <c r="E228" s="243"/>
      <c r="F228" s="243"/>
      <c r="G228" s="261">
        <f t="shared" si="10"/>
        <v>0</v>
      </c>
      <c r="H228" s="219">
        <f t="shared" si="11"/>
        <v>0</v>
      </c>
      <c r="I228" s="219"/>
      <c r="J228" s="51"/>
    </row>
    <row r="229" spans="1:10" ht="12.75">
      <c r="A229" s="212"/>
      <c r="B229" s="51" t="s">
        <v>152</v>
      </c>
      <c r="C229" s="212" t="s">
        <v>65</v>
      </c>
      <c r="D229" s="212">
        <v>6.8</v>
      </c>
      <c r="E229" s="243">
        <v>6</v>
      </c>
      <c r="F229" s="243">
        <v>0.92</v>
      </c>
      <c r="G229" s="261">
        <f t="shared" si="10"/>
        <v>37.536</v>
      </c>
      <c r="H229" s="219">
        <f t="shared" si="11"/>
        <v>446.7959457226344</v>
      </c>
      <c r="I229" s="219"/>
      <c r="J229" s="51"/>
    </row>
    <row r="230" spans="1:10" ht="12.75">
      <c r="A230" s="212">
        <v>20</v>
      </c>
      <c r="B230" s="270" t="s">
        <v>414</v>
      </c>
      <c r="C230" s="212" t="s">
        <v>80</v>
      </c>
      <c r="D230" s="212">
        <v>200</v>
      </c>
      <c r="E230" s="243">
        <v>1</v>
      </c>
      <c r="F230" s="243">
        <v>0.115</v>
      </c>
      <c r="G230" s="261">
        <f t="shared" si="10"/>
        <v>23</v>
      </c>
      <c r="H230" s="219">
        <f t="shared" si="11"/>
        <v>273.77202556533973</v>
      </c>
      <c r="I230" s="219"/>
      <c r="J230" s="51"/>
    </row>
    <row r="231" spans="1:10" ht="12.75">
      <c r="A231" s="212">
        <v>21</v>
      </c>
      <c r="B231" s="51" t="s">
        <v>153</v>
      </c>
      <c r="C231" s="212" t="s">
        <v>61</v>
      </c>
      <c r="D231" s="212">
        <f>21*8</f>
        <v>168</v>
      </c>
      <c r="E231" s="243">
        <v>8</v>
      </c>
      <c r="F231" s="243">
        <v>1</v>
      </c>
      <c r="G231" s="261">
        <f t="shared" si="10"/>
        <v>1344</v>
      </c>
      <c r="H231" s="219">
        <f t="shared" si="11"/>
        <v>15997.808798252894</v>
      </c>
      <c r="I231" s="219"/>
      <c r="J231" s="51"/>
    </row>
    <row r="232" spans="1:10" ht="12.75">
      <c r="A232" s="212"/>
      <c r="B232" s="47" t="s">
        <v>362</v>
      </c>
      <c r="C232" s="212"/>
      <c r="D232" s="212"/>
      <c r="E232" s="243"/>
      <c r="F232" s="243"/>
      <c r="G232" s="207">
        <f>SUM(G205:G231)</f>
        <v>39893.476160000006</v>
      </c>
      <c r="H232" s="242">
        <f>SUM(H205:H231)</f>
        <v>474857.29457242554</v>
      </c>
      <c r="I232" s="242"/>
      <c r="J232" s="51"/>
    </row>
    <row r="233" spans="1:10" ht="12.75">
      <c r="A233" s="212">
        <v>22</v>
      </c>
      <c r="B233" s="93" t="s">
        <v>508</v>
      </c>
      <c r="C233" s="212"/>
      <c r="D233" s="212"/>
      <c r="E233" s="243"/>
      <c r="F233" s="243"/>
      <c r="G233" s="215" t="s">
        <v>476</v>
      </c>
      <c r="H233" s="219"/>
      <c r="I233" s="219"/>
      <c r="J233" s="51"/>
    </row>
    <row r="234" spans="1:10" ht="12.75">
      <c r="A234" s="212"/>
      <c r="B234" s="51" t="s">
        <v>542</v>
      </c>
      <c r="C234" s="215" t="s">
        <v>476</v>
      </c>
      <c r="D234" s="212">
        <v>400</v>
      </c>
      <c r="E234" s="243">
        <v>1</v>
      </c>
      <c r="F234" s="243">
        <v>1</v>
      </c>
      <c r="G234" s="212">
        <v>400</v>
      </c>
      <c r="H234" s="219">
        <f>481166/40423.48*G234</f>
        <v>4761.252618527647</v>
      </c>
      <c r="I234" s="219"/>
      <c r="J234" s="51"/>
    </row>
    <row r="235" spans="1:10" ht="12.75">
      <c r="A235" s="212"/>
      <c r="B235" s="51" t="s">
        <v>451</v>
      </c>
      <c r="C235" s="215" t="s">
        <v>476</v>
      </c>
      <c r="D235" s="212">
        <v>60</v>
      </c>
      <c r="E235" s="243">
        <v>1</v>
      </c>
      <c r="F235" s="243">
        <v>1</v>
      </c>
      <c r="G235" s="212">
        <v>60</v>
      </c>
      <c r="H235" s="219">
        <f>481166/40423.48*G235</f>
        <v>714.1878927791471</v>
      </c>
      <c r="I235" s="219"/>
      <c r="J235" s="51"/>
    </row>
    <row r="236" spans="1:10" ht="12.75">
      <c r="A236" s="212"/>
      <c r="B236" s="51" t="s">
        <v>452</v>
      </c>
      <c r="C236" s="215" t="s">
        <v>476</v>
      </c>
      <c r="D236" s="212">
        <v>20</v>
      </c>
      <c r="E236" s="243">
        <v>1</v>
      </c>
      <c r="F236" s="243">
        <v>1</v>
      </c>
      <c r="G236" s="212">
        <v>20</v>
      </c>
      <c r="H236" s="219">
        <f>481166/40423.48*G236</f>
        <v>238.06263092638235</v>
      </c>
      <c r="I236" s="219"/>
      <c r="J236" s="51"/>
    </row>
    <row r="237" spans="1:10" ht="12.75">
      <c r="A237" s="212"/>
      <c r="B237" s="51" t="s">
        <v>453</v>
      </c>
      <c r="C237" s="215" t="s">
        <v>476</v>
      </c>
      <c r="D237" s="212">
        <v>50</v>
      </c>
      <c r="E237" s="243">
        <v>1</v>
      </c>
      <c r="F237" s="243">
        <v>1</v>
      </c>
      <c r="G237" s="212">
        <v>50</v>
      </c>
      <c r="H237" s="219">
        <f>481166/40423.48*G237</f>
        <v>595.1565773159559</v>
      </c>
      <c r="I237" s="219"/>
      <c r="J237" s="51"/>
    </row>
    <row r="238" spans="1:10" ht="12.75">
      <c r="A238" s="212"/>
      <c r="B238" s="47" t="s">
        <v>413</v>
      </c>
      <c r="C238" s="212"/>
      <c r="D238" s="212"/>
      <c r="E238" s="243"/>
      <c r="F238" s="243"/>
      <c r="G238" s="207">
        <f>SUM(G234:G237)</f>
        <v>530</v>
      </c>
      <c r="H238" s="219">
        <f>481166/40423.48*G238</f>
        <v>6308.659719549132</v>
      </c>
      <c r="I238" s="219"/>
      <c r="J238" s="51"/>
    </row>
    <row r="239" spans="1:10" ht="15">
      <c r="A239" s="212"/>
      <c r="B239" s="93" t="s">
        <v>525</v>
      </c>
      <c r="C239" s="212"/>
      <c r="D239" s="212"/>
      <c r="E239" s="243"/>
      <c r="F239" s="243"/>
      <c r="G239" s="259">
        <f>G232+G238</f>
        <v>40423.476160000006</v>
      </c>
      <c r="H239" s="206">
        <f>H232+H238</f>
        <v>481165.95429197466</v>
      </c>
      <c r="I239" s="206"/>
      <c r="J239" s="51"/>
    </row>
    <row r="240" spans="1:10" ht="14.25">
      <c r="A240" s="212">
        <v>23</v>
      </c>
      <c r="B240" s="93" t="s">
        <v>154</v>
      </c>
      <c r="C240" s="224"/>
      <c r="D240" s="224"/>
      <c r="E240" s="269"/>
      <c r="F240" s="231"/>
      <c r="G240" s="245">
        <f>G241+G242+G243+G244+G245+G246+G247</f>
        <v>6303</v>
      </c>
      <c r="H240" s="245">
        <f>H241+H242+H243+H244+H245+H246+H247</f>
        <v>102983</v>
      </c>
      <c r="I240" s="245">
        <f>I241+I242+I243+I244+I245+I246+I247</f>
        <v>48489.45</v>
      </c>
      <c r="J240" s="205" t="s">
        <v>386</v>
      </c>
    </row>
    <row r="241" spans="1:10" ht="12.75">
      <c r="A241" s="212"/>
      <c r="B241" s="51" t="s">
        <v>540</v>
      </c>
      <c r="C241" s="208" t="s">
        <v>53</v>
      </c>
      <c r="D241" s="208">
        <f>7.3+0.12+0.69+0.14+0.2+0.08</f>
        <v>8.53</v>
      </c>
      <c r="E241" s="205"/>
      <c r="F241" s="205"/>
      <c r="G241" s="260">
        <v>999</v>
      </c>
      <c r="H241" s="255">
        <f>4391+3000+9913+3645</f>
        <v>20949</v>
      </c>
      <c r="I241" s="255">
        <f>2055.07+4803+1766.28</f>
        <v>8624.35</v>
      </c>
      <c r="J241" s="208" t="s">
        <v>341</v>
      </c>
    </row>
    <row r="242" spans="1:11" ht="12.75">
      <c r="A242" s="212"/>
      <c r="B242" s="51" t="s">
        <v>193</v>
      </c>
      <c r="C242" s="208" t="s">
        <v>53</v>
      </c>
      <c r="D242" s="208">
        <v>135.26</v>
      </c>
      <c r="E242" s="205"/>
      <c r="F242" s="205"/>
      <c r="G242" s="260">
        <v>3717</v>
      </c>
      <c r="H242" s="255">
        <f>3840+34401+12649</f>
        <v>50890</v>
      </c>
      <c r="I242" s="255">
        <f>3704.8+17200+6324</f>
        <v>27228.8</v>
      </c>
      <c r="J242" s="208" t="s">
        <v>336</v>
      </c>
      <c r="K242" s="181" t="s">
        <v>579</v>
      </c>
    </row>
    <row r="243" spans="1:10" ht="12.75">
      <c r="A243" s="212"/>
      <c r="B243" s="51" t="s">
        <v>261</v>
      </c>
      <c r="C243" s="208" t="s">
        <v>53</v>
      </c>
      <c r="D243" s="205">
        <f>0.04+0.1025+0.11+0.02</f>
        <v>0.2725</v>
      </c>
      <c r="E243" s="205"/>
      <c r="F243" s="205"/>
      <c r="G243" s="260">
        <v>88</v>
      </c>
      <c r="H243" s="255">
        <f>504+928+341+40</f>
        <v>1813</v>
      </c>
      <c r="I243" s="255">
        <f>323.17+837+307.76</f>
        <v>1467.93</v>
      </c>
      <c r="J243" s="208" t="s">
        <v>340</v>
      </c>
    </row>
    <row r="244" spans="1:10" ht="12.75">
      <c r="A244" s="212"/>
      <c r="B244" s="51" t="s">
        <v>262</v>
      </c>
      <c r="C244" s="208" t="s">
        <v>53</v>
      </c>
      <c r="D244" s="205">
        <v>0.31</v>
      </c>
      <c r="E244" s="205"/>
      <c r="F244" s="205"/>
      <c r="G244" s="260">
        <v>30</v>
      </c>
      <c r="H244" s="255">
        <f>111+293+108</f>
        <v>512</v>
      </c>
      <c r="I244" s="255">
        <f>86.22+293+107.73</f>
        <v>486.95000000000005</v>
      </c>
      <c r="J244" s="208" t="s">
        <v>337</v>
      </c>
    </row>
    <row r="245" spans="1:10" ht="12.75">
      <c r="A245" s="212"/>
      <c r="B245" s="268" t="s">
        <v>338</v>
      </c>
      <c r="C245" s="210" t="s">
        <v>53</v>
      </c>
      <c r="D245" s="231">
        <v>0.04</v>
      </c>
      <c r="E245" s="231"/>
      <c r="F245" s="231"/>
      <c r="G245" s="252">
        <v>6</v>
      </c>
      <c r="H245" s="267">
        <f>30+62+23</f>
        <v>115</v>
      </c>
      <c r="I245" s="267">
        <f>20.73+62+22.79</f>
        <v>105.52000000000001</v>
      </c>
      <c r="J245" s="210" t="s">
        <v>339</v>
      </c>
    </row>
    <row r="246" spans="1:11" ht="12.75">
      <c r="A246" s="212"/>
      <c r="B246" s="51" t="s">
        <v>359</v>
      </c>
      <c r="C246" s="208" t="s">
        <v>53</v>
      </c>
      <c r="D246" s="205">
        <f>3.95+1.7+0.3+0.1+1+0.9+0.2</f>
        <v>8.15</v>
      </c>
      <c r="E246" s="205"/>
      <c r="F246" s="205"/>
      <c r="G246" s="260">
        <v>1230</v>
      </c>
      <c r="H246" s="255">
        <f>4846+142+1470+12261+4508</f>
        <v>23227</v>
      </c>
      <c r="I246" s="255">
        <f>4082.79+3981+1463.81</f>
        <v>9527.6</v>
      </c>
      <c r="J246" s="208" t="s">
        <v>360</v>
      </c>
      <c r="K246" s="181" t="s">
        <v>579</v>
      </c>
    </row>
    <row r="247" spans="1:10" ht="12.75">
      <c r="A247" s="212"/>
      <c r="B247" s="51" t="s">
        <v>417</v>
      </c>
      <c r="C247" s="208" t="s">
        <v>53</v>
      </c>
      <c r="D247" s="205">
        <v>0.396</v>
      </c>
      <c r="E247" s="205"/>
      <c r="F247" s="205"/>
      <c r="G247" s="260">
        <v>233</v>
      </c>
      <c r="H247" s="255">
        <f>1981+2556+940</f>
        <v>5477</v>
      </c>
      <c r="I247" s="255">
        <f>247.8+577+223.5</f>
        <v>1048.3</v>
      </c>
      <c r="J247" s="208" t="s">
        <v>418</v>
      </c>
    </row>
    <row r="248" spans="1:10" ht="12.75">
      <c r="A248" s="212">
        <v>24</v>
      </c>
      <c r="B248" s="47" t="s">
        <v>228</v>
      </c>
      <c r="C248" s="208"/>
      <c r="D248" s="205"/>
      <c r="E248" s="205"/>
      <c r="F248" s="205"/>
      <c r="G248" s="207"/>
      <c r="H248" s="255">
        <f>H249</f>
        <v>7700</v>
      </c>
      <c r="I248" s="255">
        <f>I249</f>
        <v>0</v>
      </c>
      <c r="J248" s="51"/>
    </row>
    <row r="249" spans="1:10" ht="12.75">
      <c r="A249" s="212"/>
      <c r="B249" s="47" t="s">
        <v>264</v>
      </c>
      <c r="C249" s="208" t="s">
        <v>80</v>
      </c>
      <c r="D249" s="205">
        <v>7</v>
      </c>
      <c r="E249" s="215"/>
      <c r="F249" s="215"/>
      <c r="G249" s="260"/>
      <c r="H249" s="255">
        <v>7700</v>
      </c>
      <c r="I249" s="255">
        <v>0</v>
      </c>
      <c r="J249" s="51"/>
    </row>
    <row r="250" spans="1:10" ht="15">
      <c r="A250" s="266"/>
      <c r="B250" s="93" t="s">
        <v>219</v>
      </c>
      <c r="C250" s="266"/>
      <c r="D250" s="266"/>
      <c r="E250" s="231"/>
      <c r="F250" s="231"/>
      <c r="H250" s="265">
        <f>H239+H240+H248</f>
        <v>591848.9542919747</v>
      </c>
      <c r="I250" s="265"/>
      <c r="J250" s="264"/>
    </row>
    <row r="251" spans="1:10" ht="12.75">
      <c r="A251" s="423" t="s">
        <v>222</v>
      </c>
      <c r="B251" s="424"/>
      <c r="C251" s="424"/>
      <c r="D251" s="424"/>
      <c r="E251" s="424"/>
      <c r="F251" s="424"/>
      <c r="G251" s="424"/>
      <c r="H251" s="424"/>
      <c r="I251" s="322"/>
      <c r="J251" s="51"/>
    </row>
    <row r="252" spans="1:10" ht="12.75">
      <c r="A252" s="401" t="s">
        <v>21</v>
      </c>
      <c r="B252" s="395"/>
      <c r="C252" s="395"/>
      <c r="D252" s="395"/>
      <c r="E252" s="395"/>
      <c r="F252" s="395"/>
      <c r="G252" s="395"/>
      <c r="H252" s="395"/>
      <c r="I252" s="253"/>
      <c r="J252" s="51"/>
    </row>
    <row r="253" spans="1:10" ht="15">
      <c r="A253" s="227">
        <v>1</v>
      </c>
      <c r="B253" s="263" t="s">
        <v>274</v>
      </c>
      <c r="C253" s="215"/>
      <c r="D253" s="215"/>
      <c r="E253" s="215"/>
      <c r="F253" s="215"/>
      <c r="G253" s="207"/>
      <c r="H253" s="233">
        <f>247587+15000</f>
        <v>262587</v>
      </c>
      <c r="I253" s="233"/>
      <c r="J253" s="51"/>
    </row>
    <row r="254" spans="1:10" ht="12.75">
      <c r="A254" s="227">
        <v>3</v>
      </c>
      <c r="B254" s="226" t="s">
        <v>548</v>
      </c>
      <c r="D254" s="215"/>
      <c r="E254" s="215"/>
      <c r="F254" s="215"/>
      <c r="G254" s="260"/>
      <c r="H254" s="223"/>
      <c r="I254" s="223"/>
      <c r="J254" s="51"/>
    </row>
    <row r="255" spans="1:10" ht="12.75">
      <c r="A255" s="227"/>
      <c r="B255" s="51" t="s">
        <v>559</v>
      </c>
      <c r="C255" s="215" t="s">
        <v>324</v>
      </c>
      <c r="D255" s="215">
        <v>500</v>
      </c>
      <c r="E255" s="215">
        <v>1</v>
      </c>
      <c r="F255" s="215">
        <v>0.3</v>
      </c>
      <c r="G255" s="261">
        <f aca="true" t="shared" si="12" ref="G255:G276">D255*E255*F255</f>
        <v>150</v>
      </c>
      <c r="H255" s="219">
        <f aca="true" t="shared" si="13" ref="H255:H278">159054/5568.59*G255</f>
        <v>4284.405926814507</v>
      </c>
      <c r="I255" s="219"/>
      <c r="J255" s="51"/>
    </row>
    <row r="256" spans="1:10" ht="12.75">
      <c r="A256" s="227"/>
      <c r="B256" s="51" t="s">
        <v>302</v>
      </c>
      <c r="C256" s="215"/>
      <c r="D256" s="215">
        <v>956</v>
      </c>
      <c r="E256" s="215">
        <v>1</v>
      </c>
      <c r="F256" s="215">
        <v>0.3</v>
      </c>
      <c r="G256" s="261">
        <f t="shared" si="12"/>
        <v>286.8</v>
      </c>
      <c r="H256" s="219">
        <f t="shared" si="13"/>
        <v>8191.784132069339</v>
      </c>
      <c r="I256" s="219"/>
      <c r="J256" s="51"/>
    </row>
    <row r="257" spans="1:10" ht="12.75">
      <c r="A257" s="227"/>
      <c r="B257" s="51" t="s">
        <v>303</v>
      </c>
      <c r="C257" s="215"/>
      <c r="D257" s="215">
        <v>956</v>
      </c>
      <c r="E257" s="215">
        <v>1</v>
      </c>
      <c r="F257" s="215">
        <v>0.2</v>
      </c>
      <c r="G257" s="261">
        <f t="shared" si="12"/>
        <v>191.20000000000002</v>
      </c>
      <c r="H257" s="219">
        <f t="shared" si="13"/>
        <v>5461.1894213795595</v>
      </c>
      <c r="I257" s="219"/>
      <c r="J257" s="51"/>
    </row>
    <row r="258" spans="1:10" ht="12.75">
      <c r="A258" s="227"/>
      <c r="B258" s="51" t="s">
        <v>304</v>
      </c>
      <c r="C258" s="215"/>
      <c r="D258" s="215"/>
      <c r="E258" s="215"/>
      <c r="F258" s="215"/>
      <c r="G258" s="261">
        <f t="shared" si="12"/>
        <v>0</v>
      </c>
      <c r="H258" s="219">
        <f t="shared" si="13"/>
        <v>0</v>
      </c>
      <c r="I258" s="219"/>
      <c r="J258" s="51"/>
    </row>
    <row r="259" spans="1:10" ht="12.75">
      <c r="A259" s="262"/>
      <c r="B259" s="47" t="s">
        <v>305</v>
      </c>
      <c r="C259" s="215"/>
      <c r="D259" s="215"/>
      <c r="E259" s="215"/>
      <c r="F259" s="215"/>
      <c r="G259" s="261">
        <f t="shared" si="12"/>
        <v>0</v>
      </c>
      <c r="H259" s="219">
        <f t="shared" si="13"/>
        <v>0</v>
      </c>
      <c r="I259" s="219"/>
      <c r="J259" s="51"/>
    </row>
    <row r="260" spans="1:10" ht="12.75">
      <c r="A260" s="227"/>
      <c r="B260" s="51" t="s">
        <v>306</v>
      </c>
      <c r="C260" s="215" t="s">
        <v>325</v>
      </c>
      <c r="D260" s="215">
        <v>243</v>
      </c>
      <c r="E260" s="215">
        <v>3</v>
      </c>
      <c r="F260" s="215">
        <v>0.1</v>
      </c>
      <c r="G260" s="261">
        <f t="shared" si="12"/>
        <v>72.9</v>
      </c>
      <c r="H260" s="219">
        <f t="shared" si="13"/>
        <v>2082.221280431851</v>
      </c>
      <c r="I260" s="219"/>
      <c r="J260" s="51"/>
    </row>
    <row r="261" spans="1:10" ht="12.75">
      <c r="A261" s="227"/>
      <c r="B261" s="51" t="s">
        <v>531</v>
      </c>
      <c r="C261" s="215"/>
      <c r="D261" s="215">
        <v>243</v>
      </c>
      <c r="E261" s="215">
        <v>2</v>
      </c>
      <c r="F261" s="215">
        <v>0.2</v>
      </c>
      <c r="G261" s="261">
        <f t="shared" si="12"/>
        <v>97.2</v>
      </c>
      <c r="H261" s="219">
        <f t="shared" si="13"/>
        <v>2776.295040575801</v>
      </c>
      <c r="I261" s="219"/>
      <c r="J261" s="51"/>
    </row>
    <row r="262" spans="1:10" ht="12.75">
      <c r="A262" s="227"/>
      <c r="B262" s="51" t="s">
        <v>308</v>
      </c>
      <c r="C262" s="215"/>
      <c r="D262" s="215">
        <v>243</v>
      </c>
      <c r="E262" s="215">
        <v>1</v>
      </c>
      <c r="F262" s="215">
        <v>0.1</v>
      </c>
      <c r="G262" s="261">
        <f t="shared" si="12"/>
        <v>24.3</v>
      </c>
      <c r="H262" s="219">
        <f t="shared" si="13"/>
        <v>694.0737601439503</v>
      </c>
      <c r="I262" s="219"/>
      <c r="J262" s="51"/>
    </row>
    <row r="263" spans="1:10" ht="12.75">
      <c r="A263" s="227"/>
      <c r="B263" s="47" t="s">
        <v>309</v>
      </c>
      <c r="C263" s="215"/>
      <c r="D263" s="215"/>
      <c r="E263" s="215"/>
      <c r="F263" s="215"/>
      <c r="G263" s="261">
        <f t="shared" si="12"/>
        <v>0</v>
      </c>
      <c r="H263" s="219">
        <f t="shared" si="13"/>
        <v>0</v>
      </c>
      <c r="I263" s="219"/>
      <c r="J263" s="51"/>
    </row>
    <row r="264" spans="1:10" ht="12.75">
      <c r="A264" s="227"/>
      <c r="B264" s="51" t="s">
        <v>310</v>
      </c>
      <c r="C264" s="215" t="s">
        <v>325</v>
      </c>
      <c r="D264" s="215">
        <v>725</v>
      </c>
      <c r="E264" s="215">
        <v>3</v>
      </c>
      <c r="F264" s="215">
        <v>0.15</v>
      </c>
      <c r="G264" s="261">
        <f t="shared" si="12"/>
        <v>326.25</v>
      </c>
      <c r="H264" s="219">
        <f t="shared" si="13"/>
        <v>9318.582890821554</v>
      </c>
      <c r="I264" s="219"/>
      <c r="J264" s="51"/>
    </row>
    <row r="265" spans="1:10" ht="12.75">
      <c r="A265" s="227"/>
      <c r="B265" s="51" t="s">
        <v>532</v>
      </c>
      <c r="C265" s="215"/>
      <c r="D265" s="215">
        <v>725</v>
      </c>
      <c r="E265" s="215">
        <v>2</v>
      </c>
      <c r="F265" s="215">
        <v>0.6</v>
      </c>
      <c r="G265" s="261">
        <f t="shared" si="12"/>
        <v>870</v>
      </c>
      <c r="H265" s="219">
        <f t="shared" si="13"/>
        <v>24849.554375524145</v>
      </c>
      <c r="I265" s="219"/>
      <c r="J265" s="51"/>
    </row>
    <row r="266" spans="1:10" ht="12.75">
      <c r="A266" s="227"/>
      <c r="B266" s="51" t="s">
        <v>308</v>
      </c>
      <c r="C266" s="215"/>
      <c r="D266" s="215">
        <v>725</v>
      </c>
      <c r="E266" s="215">
        <v>1</v>
      </c>
      <c r="F266" s="215">
        <v>0.1</v>
      </c>
      <c r="G266" s="261">
        <f t="shared" si="12"/>
        <v>72.5</v>
      </c>
      <c r="H266" s="219">
        <f t="shared" si="13"/>
        <v>2070.7961979603456</v>
      </c>
      <c r="I266" s="219"/>
      <c r="J266" s="51"/>
    </row>
    <row r="267" spans="1:10" ht="12.75">
      <c r="A267" s="227"/>
      <c r="B267" s="47" t="s">
        <v>313</v>
      </c>
      <c r="C267" s="215"/>
      <c r="D267" s="215"/>
      <c r="E267" s="215"/>
      <c r="F267" s="215"/>
      <c r="G267" s="261">
        <f t="shared" si="12"/>
        <v>0</v>
      </c>
      <c r="H267" s="219">
        <f t="shared" si="13"/>
        <v>0</v>
      </c>
      <c r="I267" s="219"/>
      <c r="J267" s="51"/>
    </row>
    <row r="268" spans="1:10" ht="12.75">
      <c r="A268" s="227"/>
      <c r="B268" s="51" t="s">
        <v>314</v>
      </c>
      <c r="C268" s="215" t="s">
        <v>326</v>
      </c>
      <c r="D268" s="215">
        <v>35.4</v>
      </c>
      <c r="E268" s="215">
        <v>1</v>
      </c>
      <c r="F268" s="215">
        <v>2.75</v>
      </c>
      <c r="G268" s="261">
        <f t="shared" si="12"/>
        <v>97.35</v>
      </c>
      <c r="H268" s="219">
        <f t="shared" si="13"/>
        <v>2780.579446502615</v>
      </c>
      <c r="I268" s="219"/>
      <c r="J268" s="51"/>
    </row>
    <row r="269" spans="1:10" ht="12.75">
      <c r="A269" s="227"/>
      <c r="B269" s="51" t="s">
        <v>315</v>
      </c>
      <c r="C269" s="215"/>
      <c r="D269" s="215"/>
      <c r="E269" s="215"/>
      <c r="F269" s="215"/>
      <c r="G269" s="261">
        <f t="shared" si="12"/>
        <v>0</v>
      </c>
      <c r="H269" s="219">
        <f t="shared" si="13"/>
        <v>0</v>
      </c>
      <c r="I269" s="219"/>
      <c r="J269" s="51"/>
    </row>
    <row r="270" spans="1:10" ht="12.75">
      <c r="A270" s="227"/>
      <c r="B270" s="47" t="s">
        <v>316</v>
      </c>
      <c r="C270" s="215"/>
      <c r="D270" s="215"/>
      <c r="E270" s="215"/>
      <c r="F270" s="215"/>
      <c r="G270" s="261">
        <f t="shared" si="12"/>
        <v>0</v>
      </c>
      <c r="H270" s="219">
        <f t="shared" si="13"/>
        <v>0</v>
      </c>
      <c r="I270" s="219"/>
      <c r="J270" s="51"/>
    </row>
    <row r="271" spans="1:10" ht="12.75">
      <c r="A271" s="227"/>
      <c r="B271" s="51" t="s">
        <v>314</v>
      </c>
      <c r="C271" s="215" t="s">
        <v>327</v>
      </c>
      <c r="D271" s="215">
        <v>31</v>
      </c>
      <c r="E271" s="215">
        <v>12</v>
      </c>
      <c r="F271" s="215">
        <v>0.49</v>
      </c>
      <c r="G271" s="261">
        <f t="shared" si="12"/>
        <v>182.28</v>
      </c>
      <c r="H271" s="219">
        <f t="shared" si="13"/>
        <v>5206.41008226499</v>
      </c>
      <c r="I271" s="219"/>
      <c r="J271" s="51"/>
    </row>
    <row r="272" spans="1:10" ht="12.75">
      <c r="A272" s="227"/>
      <c r="B272" s="51" t="s">
        <v>317</v>
      </c>
      <c r="C272" s="215"/>
      <c r="D272" s="215"/>
      <c r="E272" s="215"/>
      <c r="F272" s="215"/>
      <c r="G272" s="261">
        <f t="shared" si="12"/>
        <v>0</v>
      </c>
      <c r="H272" s="219">
        <f t="shared" si="13"/>
        <v>0</v>
      </c>
      <c r="I272" s="219"/>
      <c r="J272" s="51"/>
    </row>
    <row r="273" spans="1:10" ht="12.75">
      <c r="A273" s="227"/>
      <c r="B273" s="51" t="s">
        <v>533</v>
      </c>
      <c r="C273" s="215"/>
      <c r="D273" s="215"/>
      <c r="E273" s="215"/>
      <c r="F273" s="215"/>
      <c r="G273" s="261">
        <f t="shared" si="12"/>
        <v>0</v>
      </c>
      <c r="H273" s="219">
        <f t="shared" si="13"/>
        <v>0</v>
      </c>
      <c r="I273" s="219"/>
      <c r="J273" s="51"/>
    </row>
    <row r="274" spans="1:10" ht="12.75">
      <c r="A274" s="227"/>
      <c r="B274" s="47" t="s">
        <v>320</v>
      </c>
      <c r="C274" s="215" t="s">
        <v>328</v>
      </c>
      <c r="D274" s="215">
        <v>31</v>
      </c>
      <c r="E274" s="215">
        <v>12</v>
      </c>
      <c r="F274" s="215">
        <v>0.42</v>
      </c>
      <c r="G274" s="261">
        <f t="shared" si="12"/>
        <v>156.23999999999998</v>
      </c>
      <c r="H274" s="219">
        <f t="shared" si="13"/>
        <v>4462.637213369991</v>
      </c>
      <c r="I274" s="219"/>
      <c r="J274" s="51"/>
    </row>
    <row r="275" spans="1:10" ht="12.75">
      <c r="A275" s="227"/>
      <c r="B275" s="51" t="s">
        <v>534</v>
      </c>
      <c r="C275" s="215"/>
      <c r="D275" s="215"/>
      <c r="E275" s="215"/>
      <c r="F275" s="215"/>
      <c r="G275" s="261">
        <f t="shared" si="12"/>
        <v>0</v>
      </c>
      <c r="H275" s="219">
        <f t="shared" si="13"/>
        <v>0</v>
      </c>
      <c r="I275" s="219"/>
      <c r="J275" s="51"/>
    </row>
    <row r="276" spans="1:10" ht="12.75">
      <c r="A276" s="227"/>
      <c r="B276" s="47" t="s">
        <v>321</v>
      </c>
      <c r="C276" s="215" t="s">
        <v>329</v>
      </c>
      <c r="D276" s="215">
        <v>35.4</v>
      </c>
      <c r="E276" s="215">
        <v>96</v>
      </c>
      <c r="F276" s="215">
        <v>0.27</v>
      </c>
      <c r="G276" s="261">
        <f t="shared" si="12"/>
        <v>917.568</v>
      </c>
      <c r="H276" s="219">
        <f t="shared" si="13"/>
        <v>26208.22518303556</v>
      </c>
      <c r="I276" s="219"/>
      <c r="J276" s="51"/>
    </row>
    <row r="277" spans="1:10" ht="12.75">
      <c r="A277" s="227"/>
      <c r="B277" s="47" t="s">
        <v>322</v>
      </c>
      <c r="C277" s="51"/>
      <c r="D277" s="51"/>
      <c r="E277" s="51"/>
      <c r="F277" s="51"/>
      <c r="G277" s="51"/>
      <c r="H277" s="219">
        <f t="shared" si="13"/>
        <v>0</v>
      </c>
      <c r="I277" s="219"/>
      <c r="J277" s="51"/>
    </row>
    <row r="278" spans="1:10" ht="12.75">
      <c r="A278" s="227"/>
      <c r="B278" s="47" t="s">
        <v>153</v>
      </c>
      <c r="C278" s="215" t="s">
        <v>61</v>
      </c>
      <c r="D278" s="215">
        <f>2*8</f>
        <v>16</v>
      </c>
      <c r="E278" s="215">
        <v>8</v>
      </c>
      <c r="F278" s="215">
        <v>1</v>
      </c>
      <c r="G278" s="260">
        <f>D278*E278</f>
        <v>128</v>
      </c>
      <c r="H278" s="219">
        <f t="shared" si="13"/>
        <v>3656.0263908817133</v>
      </c>
      <c r="I278" s="219"/>
      <c r="J278" s="51"/>
    </row>
    <row r="279" spans="1:10" ht="15">
      <c r="A279" s="227"/>
      <c r="B279" s="47" t="s">
        <v>420</v>
      </c>
      <c r="C279" s="215"/>
      <c r="D279" s="215"/>
      <c r="E279" s="215"/>
      <c r="F279" s="215"/>
      <c r="G279" s="259">
        <f>SUM(G255:G278)</f>
        <v>3572.5879999999997</v>
      </c>
      <c r="H279" s="206">
        <f>SUM(H255:H278)</f>
        <v>102042.78134177593</v>
      </c>
      <c r="I279" s="206"/>
      <c r="J279" s="51"/>
    </row>
    <row r="280" spans="1:10" ht="12.75">
      <c r="A280" s="227">
        <v>3</v>
      </c>
      <c r="B280" s="208" t="s">
        <v>507</v>
      </c>
      <c r="C280" s="215"/>
      <c r="D280" s="215"/>
      <c r="E280" s="215"/>
      <c r="F280" s="215"/>
      <c r="G280" s="260"/>
      <c r="H280" s="218"/>
      <c r="I280" s="218"/>
      <c r="J280" s="51"/>
    </row>
    <row r="281" spans="1:10" ht="12.75">
      <c r="A281" s="227"/>
      <c r="B281" s="256" t="s">
        <v>454</v>
      </c>
      <c r="C281" s="215" t="s">
        <v>476</v>
      </c>
      <c r="D281" s="215">
        <f>1996-64-30-24</f>
        <v>1878</v>
      </c>
      <c r="E281" s="215">
        <v>1</v>
      </c>
      <c r="F281" s="215">
        <v>1</v>
      </c>
      <c r="G281" s="215">
        <f>1996-24</f>
        <v>1972</v>
      </c>
      <c r="H281" s="219">
        <f>159054/5568.59*G281</f>
        <v>56325.65658452139</v>
      </c>
      <c r="I281" s="219"/>
      <c r="J281" s="51"/>
    </row>
    <row r="282" spans="1:10" ht="12.75">
      <c r="A282" s="227"/>
      <c r="B282" s="51" t="s">
        <v>463</v>
      </c>
      <c r="C282" s="215" t="s">
        <v>476</v>
      </c>
      <c r="D282" s="260">
        <f>3*8</f>
        <v>24</v>
      </c>
      <c r="E282" s="215">
        <v>1</v>
      </c>
      <c r="F282" s="215">
        <v>1</v>
      </c>
      <c r="G282" s="260">
        <f>3*8</f>
        <v>24</v>
      </c>
      <c r="H282" s="219">
        <f>159054/5568.59*G282</f>
        <v>685.5049482903212</v>
      </c>
      <c r="I282" s="219"/>
      <c r="J282" s="51"/>
    </row>
    <row r="283" spans="1:10" ht="12.75">
      <c r="A283" s="227"/>
      <c r="B283" s="47" t="s">
        <v>413</v>
      </c>
      <c r="C283" s="215"/>
      <c r="D283" s="260"/>
      <c r="E283" s="215"/>
      <c r="F283" s="215"/>
      <c r="G283" s="207">
        <f>SUM(G281:G282)</f>
        <v>1996</v>
      </c>
      <c r="H283" s="218">
        <f>SUM(H281:H282)</f>
        <v>57011.16153281171</v>
      </c>
      <c r="I283" s="218"/>
      <c r="J283" s="51"/>
    </row>
    <row r="284" spans="1:10" ht="15">
      <c r="A284" s="227"/>
      <c r="B284" s="93" t="s">
        <v>526</v>
      </c>
      <c r="C284" s="215"/>
      <c r="D284" s="260"/>
      <c r="E284" s="215"/>
      <c r="F284" s="215"/>
      <c r="G284" s="259">
        <f>G279+G283</f>
        <v>5568.588</v>
      </c>
      <c r="H284" s="206">
        <f>H279+H283</f>
        <v>159053.94287458764</v>
      </c>
      <c r="I284" s="206"/>
      <c r="J284" s="51"/>
    </row>
    <row r="285" spans="1:10" ht="25.5">
      <c r="A285" s="227">
        <v>4</v>
      </c>
      <c r="B285" s="93" t="s">
        <v>522</v>
      </c>
      <c r="C285" s="247"/>
      <c r="D285" s="247"/>
      <c r="E285" s="231"/>
      <c r="F285" s="231"/>
      <c r="G285" s="230">
        <f>3000+12</f>
        <v>3012</v>
      </c>
      <c r="H285" s="245">
        <v>117238</v>
      </c>
      <c r="I285" s="245">
        <v>1044</v>
      </c>
      <c r="J285" s="231" t="s">
        <v>560</v>
      </c>
    </row>
    <row r="286" spans="1:10" ht="15">
      <c r="A286" s="227">
        <v>5</v>
      </c>
      <c r="B286" s="2" t="s">
        <v>502</v>
      </c>
      <c r="C286" s="258"/>
      <c r="D286" s="257"/>
      <c r="E286" s="258"/>
      <c r="F286" s="258"/>
      <c r="G286" s="257"/>
      <c r="H286" s="213">
        <v>96000</v>
      </c>
      <c r="I286" s="213">
        <v>0</v>
      </c>
      <c r="J286" s="325" t="s">
        <v>63</v>
      </c>
    </row>
    <row r="287" spans="1:10" ht="12.75">
      <c r="A287" s="227">
        <v>6</v>
      </c>
      <c r="B287" s="256" t="s">
        <v>547</v>
      </c>
      <c r="C287" s="215"/>
      <c r="D287" s="205"/>
      <c r="E287" s="215"/>
      <c r="F287" s="215"/>
      <c r="G287" s="51"/>
      <c r="H287" s="255">
        <f>7604.68+5000+1350</f>
        <v>13954.68</v>
      </c>
      <c r="I287" s="255">
        <f>7604.68</f>
        <v>7604.68</v>
      </c>
      <c r="J287" s="51"/>
    </row>
    <row r="288" spans="1:10" ht="15">
      <c r="A288" s="227"/>
      <c r="B288" s="86" t="s">
        <v>219</v>
      </c>
      <c r="C288" s="247"/>
      <c r="D288" s="247"/>
      <c r="E288" s="231"/>
      <c r="F288" s="231"/>
      <c r="G288" s="245"/>
      <c r="H288" s="254">
        <f>H253+H284+H285+H286+H287</f>
        <v>648833.6228745877</v>
      </c>
      <c r="I288" s="254"/>
      <c r="J288" s="51"/>
    </row>
    <row r="289" spans="1:10" ht="12.75">
      <c r="A289" s="421" t="s">
        <v>123</v>
      </c>
      <c r="B289" s="422"/>
      <c r="C289" s="422"/>
      <c r="D289" s="422"/>
      <c r="E289" s="422"/>
      <c r="F289" s="422"/>
      <c r="G289" s="422"/>
      <c r="H289" s="422"/>
      <c r="I289" s="185"/>
      <c r="J289" s="51"/>
    </row>
    <row r="290" spans="1:10" ht="12.75">
      <c r="A290" s="401" t="s">
        <v>23</v>
      </c>
      <c r="B290" s="395"/>
      <c r="C290" s="395"/>
      <c r="D290" s="395"/>
      <c r="E290" s="395"/>
      <c r="F290" s="395"/>
      <c r="G290" s="395"/>
      <c r="H290" s="395"/>
      <c r="I290" s="253"/>
      <c r="J290" s="51"/>
    </row>
    <row r="291" spans="1:10" ht="12.75">
      <c r="A291" s="253">
        <v>2</v>
      </c>
      <c r="B291" s="253" t="s">
        <v>561</v>
      </c>
      <c r="C291" s="205"/>
      <c r="D291" s="205"/>
      <c r="E291" s="205"/>
      <c r="F291" s="205"/>
      <c r="G291" s="205"/>
      <c r="H291" s="205"/>
      <c r="I291" s="205"/>
      <c r="J291" s="51"/>
    </row>
    <row r="292" spans="1:10" ht="12.75">
      <c r="A292" s="215">
        <v>1</v>
      </c>
      <c r="B292" s="251" t="s">
        <v>155</v>
      </c>
      <c r="C292" s="215" t="s">
        <v>73</v>
      </c>
      <c r="D292" s="215">
        <v>29</v>
      </c>
      <c r="E292" s="215"/>
      <c r="F292" s="215"/>
      <c r="G292" s="215"/>
      <c r="H292" s="223"/>
      <c r="I292" s="223"/>
      <c r="J292" s="51"/>
    </row>
    <row r="293" spans="1:10" ht="12.75">
      <c r="A293" s="215">
        <v>2</v>
      </c>
      <c r="B293" s="251" t="s">
        <v>156</v>
      </c>
      <c r="C293" s="215" t="s">
        <v>73</v>
      </c>
      <c r="D293" s="223">
        <v>29</v>
      </c>
      <c r="E293" s="215"/>
      <c r="F293" s="215"/>
      <c r="G293" s="215"/>
      <c r="H293" s="223"/>
      <c r="I293" s="223"/>
      <c r="J293" s="51"/>
    </row>
    <row r="294" spans="1:10" ht="12.75">
      <c r="A294" s="215">
        <v>3</v>
      </c>
      <c r="B294" s="251" t="s">
        <v>157</v>
      </c>
      <c r="C294" s="215" t="s">
        <v>80</v>
      </c>
      <c r="D294" s="223">
        <v>6</v>
      </c>
      <c r="E294" s="215"/>
      <c r="F294" s="215"/>
      <c r="G294" s="215"/>
      <c r="H294" s="223"/>
      <c r="I294" s="223"/>
      <c r="J294" s="51"/>
    </row>
    <row r="295" spans="1:10" ht="12.75">
      <c r="A295" s="215">
        <v>4</v>
      </c>
      <c r="B295" s="251" t="s">
        <v>158</v>
      </c>
      <c r="C295" s="215" t="s">
        <v>73</v>
      </c>
      <c r="D295" s="223">
        <v>313.68</v>
      </c>
      <c r="E295" s="215"/>
      <c r="F295" s="215"/>
      <c r="G295" s="215"/>
      <c r="H295" s="223"/>
      <c r="I295" s="223"/>
      <c r="J295" s="51"/>
    </row>
    <row r="296" spans="1:10" ht="12.75">
      <c r="A296" s="215">
        <v>5</v>
      </c>
      <c r="B296" s="251" t="s">
        <v>159</v>
      </c>
      <c r="C296" s="215" t="s">
        <v>73</v>
      </c>
      <c r="D296" s="223">
        <v>279.56</v>
      </c>
      <c r="E296" s="215"/>
      <c r="F296" s="215"/>
      <c r="G296" s="215"/>
      <c r="H296" s="223"/>
      <c r="I296" s="223"/>
      <c r="J296" s="51"/>
    </row>
    <row r="297" spans="1:10" ht="12.75">
      <c r="A297" s="215">
        <v>6</v>
      </c>
      <c r="B297" s="251" t="s">
        <v>160</v>
      </c>
      <c r="C297" s="215" t="s">
        <v>73</v>
      </c>
      <c r="D297" s="223">
        <v>79</v>
      </c>
      <c r="E297" s="215"/>
      <c r="F297" s="215"/>
      <c r="G297" s="215"/>
      <c r="H297" s="223"/>
      <c r="I297" s="223"/>
      <c r="J297" s="51"/>
    </row>
    <row r="298" spans="1:10" ht="12.75">
      <c r="A298" s="215">
        <v>7</v>
      </c>
      <c r="B298" s="251" t="s">
        <v>161</v>
      </c>
      <c r="C298" s="215" t="s">
        <v>162</v>
      </c>
      <c r="D298" s="223">
        <v>200</v>
      </c>
      <c r="E298" s="215"/>
      <c r="F298" s="215"/>
      <c r="G298" s="215"/>
      <c r="H298" s="223"/>
      <c r="I298" s="223"/>
      <c r="J298" s="51"/>
    </row>
    <row r="299" spans="1:10" ht="12.75">
      <c r="A299" s="215">
        <v>8</v>
      </c>
      <c r="B299" s="251" t="s">
        <v>163</v>
      </c>
      <c r="C299" s="215" t="s">
        <v>73</v>
      </c>
      <c r="D299" s="223">
        <v>21.36</v>
      </c>
      <c r="E299" s="215"/>
      <c r="F299" s="215"/>
      <c r="G299" s="215"/>
      <c r="H299" s="223"/>
      <c r="I299" s="223"/>
      <c r="J299" s="51"/>
    </row>
    <row r="300" spans="1:10" ht="12.75">
      <c r="A300" s="215">
        <v>9</v>
      </c>
      <c r="B300" s="251" t="s">
        <v>164</v>
      </c>
      <c r="C300" s="215"/>
      <c r="D300" s="223"/>
      <c r="E300" s="215"/>
      <c r="F300" s="215"/>
      <c r="G300" s="215"/>
      <c r="H300" s="223"/>
      <c r="I300" s="223"/>
      <c r="J300" s="51"/>
    </row>
    <row r="301" spans="1:10" ht="12.75">
      <c r="A301" s="215">
        <v>10</v>
      </c>
      <c r="B301" s="251" t="s">
        <v>165</v>
      </c>
      <c r="C301" s="215"/>
      <c r="D301" s="223"/>
      <c r="E301" s="215"/>
      <c r="F301" s="215"/>
      <c r="G301" s="215"/>
      <c r="H301" s="223"/>
      <c r="I301" s="223"/>
      <c r="J301" s="51"/>
    </row>
    <row r="302" spans="1:10" ht="12.75">
      <c r="A302" s="215">
        <v>11</v>
      </c>
      <c r="B302" s="251" t="s">
        <v>166</v>
      </c>
      <c r="C302" s="215"/>
      <c r="D302" s="223"/>
      <c r="E302" s="215"/>
      <c r="F302" s="215"/>
      <c r="G302" s="215"/>
      <c r="H302" s="223"/>
      <c r="I302" s="223"/>
      <c r="J302" s="51"/>
    </row>
    <row r="303" spans="1:10" ht="12.75">
      <c r="A303" s="247"/>
      <c r="B303" s="248" t="s">
        <v>413</v>
      </c>
      <c r="C303" s="247"/>
      <c r="D303" s="246"/>
      <c r="E303" s="210"/>
      <c r="F303" s="231"/>
      <c r="G303" s="252">
        <f>2*1996</f>
        <v>3992</v>
      </c>
      <c r="H303" s="252">
        <f>92741-38266.38</f>
        <v>54474.62</v>
      </c>
      <c r="I303" s="252"/>
      <c r="J303" s="250"/>
    </row>
    <row r="304" spans="1:10" ht="12.75">
      <c r="A304" s="247">
        <v>12</v>
      </c>
      <c r="B304" s="93" t="s">
        <v>506</v>
      </c>
      <c r="C304" s="215"/>
      <c r="D304" s="223"/>
      <c r="E304" s="215"/>
      <c r="F304" s="215"/>
      <c r="G304" s="215"/>
      <c r="H304" s="245"/>
      <c r="I304" s="245"/>
      <c r="J304" s="250"/>
    </row>
    <row r="305" spans="1:10" ht="12.75">
      <c r="A305" s="247"/>
      <c r="B305" s="251" t="s">
        <v>455</v>
      </c>
      <c r="C305" s="215" t="s">
        <v>476</v>
      </c>
      <c r="D305" s="223">
        <v>998</v>
      </c>
      <c r="E305" s="215">
        <v>1</v>
      </c>
      <c r="F305" s="215">
        <v>1</v>
      </c>
      <c r="G305" s="215">
        <v>998</v>
      </c>
      <c r="H305" s="245">
        <f>9823.44+3612.08+8869+14453+1508.86</f>
        <v>38266.380000000005</v>
      </c>
      <c r="I305" s="245"/>
      <c r="J305" s="250"/>
    </row>
    <row r="306" spans="1:10" ht="12.75">
      <c r="A306" s="247"/>
      <c r="B306" s="248" t="s">
        <v>527</v>
      </c>
      <c r="C306" s="215"/>
      <c r="D306" s="223"/>
      <c r="E306" s="215"/>
      <c r="F306" s="215"/>
      <c r="G306" s="207">
        <f>G303+G305</f>
        <v>4990</v>
      </c>
      <c r="H306" s="245">
        <f>H303+H305</f>
        <v>92741</v>
      </c>
      <c r="I306" s="245"/>
      <c r="J306" s="250"/>
    </row>
    <row r="307" spans="1:10" ht="12.75">
      <c r="A307" s="247">
        <v>13</v>
      </c>
      <c r="B307" s="248" t="s">
        <v>167</v>
      </c>
      <c r="C307" s="247"/>
      <c r="D307" s="246"/>
      <c r="E307" s="210"/>
      <c r="F307" s="231"/>
      <c r="G307" s="245"/>
      <c r="H307" s="245"/>
      <c r="I307" s="245"/>
      <c r="J307" s="250"/>
    </row>
    <row r="308" spans="1:10" ht="25.5">
      <c r="A308" s="247"/>
      <c r="B308" s="248" t="s">
        <v>343</v>
      </c>
      <c r="C308" s="247"/>
      <c r="D308" s="246"/>
      <c r="E308" s="210"/>
      <c r="F308" s="231"/>
      <c r="G308" s="245"/>
      <c r="H308" s="245">
        <f>7681+3030+1114</f>
        <v>11825</v>
      </c>
      <c r="I308" s="245">
        <v>0</v>
      </c>
      <c r="J308" s="248" t="s">
        <v>495</v>
      </c>
    </row>
    <row r="309" spans="1:13" ht="12.75">
      <c r="A309" s="249"/>
      <c r="B309" s="248" t="s">
        <v>219</v>
      </c>
      <c r="C309" s="247"/>
      <c r="D309" s="246"/>
      <c r="E309" s="210"/>
      <c r="F309" s="231"/>
      <c r="G309" s="245"/>
      <c r="H309" s="230">
        <f>H306+H308</f>
        <v>104566</v>
      </c>
      <c r="I309" s="230"/>
      <c r="J309" s="51"/>
      <c r="K309" s="188"/>
      <c r="L309" s="188"/>
      <c r="M309" s="188"/>
    </row>
    <row r="310" spans="1:10" ht="12.75">
      <c r="A310" s="421" t="s">
        <v>124</v>
      </c>
      <c r="B310" s="422"/>
      <c r="C310" s="422"/>
      <c r="D310" s="422"/>
      <c r="E310" s="422"/>
      <c r="F310" s="422"/>
      <c r="G310" s="422"/>
      <c r="H310" s="422"/>
      <c r="I310" s="185"/>
      <c r="J310" s="51"/>
    </row>
    <row r="311" spans="1:10" ht="12.75">
      <c r="A311" s="421" t="s">
        <v>22</v>
      </c>
      <c r="B311" s="422"/>
      <c r="C311" s="422"/>
      <c r="D311" s="422"/>
      <c r="E311" s="422"/>
      <c r="F311" s="422"/>
      <c r="G311" s="422"/>
      <c r="H311" s="422"/>
      <c r="I311" s="185"/>
      <c r="J311" s="51"/>
    </row>
    <row r="312" spans="1:10" ht="12.75">
      <c r="A312" s="212">
        <v>1</v>
      </c>
      <c r="B312" s="47" t="s">
        <v>169</v>
      </c>
      <c r="C312" s="212"/>
      <c r="D312" s="212"/>
      <c r="E312" s="224"/>
      <c r="F312" s="215"/>
      <c r="G312" s="215"/>
      <c r="H312" s="223"/>
      <c r="I312" s="223"/>
      <c r="J312" s="215"/>
    </row>
    <row r="313" spans="1:10" ht="12.75">
      <c r="A313" s="212"/>
      <c r="B313" s="51" t="s">
        <v>171</v>
      </c>
      <c r="C313" s="212" t="s">
        <v>53</v>
      </c>
      <c r="D313" s="212">
        <v>1583.46</v>
      </c>
      <c r="E313" s="212">
        <v>20</v>
      </c>
      <c r="F313" s="212">
        <v>0.091</v>
      </c>
      <c r="G313" s="221">
        <f>D313*E313*F313</f>
        <v>2881.8972</v>
      </c>
      <c r="H313" s="219">
        <f>153840/11238.09*G313</f>
        <v>39450.74877029815</v>
      </c>
      <c r="I313" s="219"/>
      <c r="J313" s="215"/>
    </row>
    <row r="314" spans="1:10" ht="12.75">
      <c r="A314" s="212"/>
      <c r="B314" s="51" t="s">
        <v>172</v>
      </c>
      <c r="C314" s="212" t="s">
        <v>73</v>
      </c>
      <c r="D314" s="212">
        <v>20835</v>
      </c>
      <c r="E314" s="212">
        <v>3</v>
      </c>
      <c r="F314" s="212">
        <v>0.043</v>
      </c>
      <c r="G314" s="221">
        <f>D314*E314*F314</f>
        <v>2687.7149999999997</v>
      </c>
      <c r="H314" s="219">
        <f>153840/11238.09*G314</f>
        <v>36792.55777449726</v>
      </c>
      <c r="I314" s="219"/>
      <c r="J314" s="215"/>
    </row>
    <row r="315" spans="1:10" ht="12.75">
      <c r="A315" s="212"/>
      <c r="B315" s="51" t="s">
        <v>170</v>
      </c>
      <c r="C315" s="212" t="s">
        <v>135</v>
      </c>
      <c r="D315" s="212">
        <v>2</v>
      </c>
      <c r="E315" s="212">
        <v>8</v>
      </c>
      <c r="F315" s="212">
        <v>1.63</v>
      </c>
      <c r="G315" s="221">
        <f>D315*E315*F315</f>
        <v>26.08</v>
      </c>
      <c r="H315" s="219">
        <f>153840/11238.09*G315</f>
        <v>357.0132647095725</v>
      </c>
      <c r="I315" s="219"/>
      <c r="J315" s="215"/>
    </row>
    <row r="316" spans="1:10" ht="12.75">
      <c r="A316" s="212"/>
      <c r="B316" s="47" t="s">
        <v>500</v>
      </c>
      <c r="C316" s="212"/>
      <c r="D316" s="212"/>
      <c r="E316" s="212"/>
      <c r="F316" s="212"/>
      <c r="G316" s="234">
        <f>SUM(G313:G315)</f>
        <v>5595.6921999999995</v>
      </c>
      <c r="H316" s="218">
        <f>SUM(H313:H315)</f>
        <v>76600.31980950499</v>
      </c>
      <c r="I316" s="218"/>
      <c r="J316" s="215"/>
    </row>
    <row r="317" spans="1:10" ht="12.75">
      <c r="A317" s="421" t="s">
        <v>125</v>
      </c>
      <c r="B317" s="422"/>
      <c r="C317" s="422"/>
      <c r="D317" s="422"/>
      <c r="E317" s="422"/>
      <c r="F317" s="422"/>
      <c r="G317" s="422"/>
      <c r="H317" s="422"/>
      <c r="I317" s="185"/>
      <c r="J317" s="51"/>
    </row>
    <row r="318" spans="1:10" ht="12.75">
      <c r="A318" s="421" t="s">
        <v>24</v>
      </c>
      <c r="B318" s="422"/>
      <c r="C318" s="422"/>
      <c r="D318" s="422"/>
      <c r="E318" s="422"/>
      <c r="F318" s="422"/>
      <c r="G318" s="422"/>
      <c r="H318" s="422"/>
      <c r="I318" s="185"/>
      <c r="J318" s="51"/>
    </row>
    <row r="319" spans="1:10" ht="12.75">
      <c r="A319" s="212">
        <v>1</v>
      </c>
      <c r="B319" s="47" t="s">
        <v>173</v>
      </c>
      <c r="C319" s="51"/>
      <c r="D319" s="212"/>
      <c r="E319" s="224"/>
      <c r="F319" s="215"/>
      <c r="G319" s="215"/>
      <c r="H319" s="223"/>
      <c r="I319" s="223"/>
      <c r="J319" s="51"/>
    </row>
    <row r="320" spans="1:10" ht="12.75">
      <c r="A320" s="212"/>
      <c r="B320" s="51" t="s">
        <v>174</v>
      </c>
      <c r="C320" s="212" t="s">
        <v>53</v>
      </c>
      <c r="D320" s="212">
        <v>28.73</v>
      </c>
      <c r="E320" s="243">
        <v>72</v>
      </c>
      <c r="F320" s="243">
        <v>0.162</v>
      </c>
      <c r="G320" s="221">
        <f aca="true" t="shared" si="14" ref="G320:G327">D320*E320*F320</f>
        <v>335.10672</v>
      </c>
      <c r="H320" s="219">
        <f aca="true" t="shared" si="15" ref="H320:H327">153840/11238.09*G320</f>
        <v>4587.329146216127</v>
      </c>
      <c r="I320" s="219"/>
      <c r="J320" s="51"/>
    </row>
    <row r="321" spans="1:10" ht="12.75">
      <c r="A321" s="212"/>
      <c r="B321" s="51" t="s">
        <v>175</v>
      </c>
      <c r="C321" s="212" t="s">
        <v>53</v>
      </c>
      <c r="D321" s="212">
        <v>2.5</v>
      </c>
      <c r="E321" s="243">
        <v>3</v>
      </c>
      <c r="F321" s="243">
        <v>6.25</v>
      </c>
      <c r="G321" s="221">
        <f t="shared" si="14"/>
        <v>46.875</v>
      </c>
      <c r="H321" s="219">
        <f t="shared" si="15"/>
        <v>641.6793245115496</v>
      </c>
      <c r="I321" s="219"/>
      <c r="J321" s="51"/>
    </row>
    <row r="322" spans="1:10" ht="12.75">
      <c r="A322" s="212"/>
      <c r="B322" s="51" t="s">
        <v>176</v>
      </c>
      <c r="C322" s="212" t="s">
        <v>53</v>
      </c>
      <c r="D322" s="212">
        <v>28.73</v>
      </c>
      <c r="E322" s="243">
        <v>36</v>
      </c>
      <c r="F322" s="243">
        <v>0.214</v>
      </c>
      <c r="G322" s="221">
        <f t="shared" si="14"/>
        <v>221.33592</v>
      </c>
      <c r="H322" s="219">
        <f t="shared" si="15"/>
        <v>3029.9025842291703</v>
      </c>
      <c r="I322" s="219"/>
      <c r="J322" s="51"/>
    </row>
    <row r="323" spans="1:10" ht="12.75">
      <c r="A323" s="212"/>
      <c r="B323" s="51" t="s">
        <v>177</v>
      </c>
      <c r="C323" s="212" t="s">
        <v>53</v>
      </c>
      <c r="D323" s="212">
        <v>28.73</v>
      </c>
      <c r="E323" s="243">
        <v>24</v>
      </c>
      <c r="F323" s="243">
        <v>1.43</v>
      </c>
      <c r="G323" s="221">
        <f t="shared" si="14"/>
        <v>986.0135999999999</v>
      </c>
      <c r="H323" s="219">
        <f t="shared" si="15"/>
        <v>13497.696870553624</v>
      </c>
      <c r="I323" s="219"/>
      <c r="J323" s="51"/>
    </row>
    <row r="324" spans="1:10" ht="12.75">
      <c r="A324" s="212"/>
      <c r="B324" s="51" t="s">
        <v>178</v>
      </c>
      <c r="C324" s="212" t="s">
        <v>73</v>
      </c>
      <c r="D324" s="212">
        <v>2032</v>
      </c>
      <c r="E324" s="243">
        <v>6</v>
      </c>
      <c r="F324" s="243">
        <v>0.05</v>
      </c>
      <c r="G324" s="221">
        <f t="shared" si="14"/>
        <v>609.6</v>
      </c>
      <c r="H324" s="219">
        <f t="shared" si="15"/>
        <v>8344.9112794078</v>
      </c>
      <c r="I324" s="219"/>
      <c r="J324" s="51"/>
    </row>
    <row r="325" spans="1:10" ht="12.75">
      <c r="A325" s="212"/>
      <c r="B325" s="51" t="s">
        <v>170</v>
      </c>
      <c r="C325" s="212" t="s">
        <v>179</v>
      </c>
      <c r="D325" s="212">
        <v>3</v>
      </c>
      <c r="E325" s="243">
        <v>6</v>
      </c>
      <c r="F325" s="243">
        <v>1.63</v>
      </c>
      <c r="G325" s="221">
        <f t="shared" si="14"/>
        <v>29.339999999999996</v>
      </c>
      <c r="H325" s="219">
        <f t="shared" si="15"/>
        <v>401.639922798269</v>
      </c>
      <c r="I325" s="219"/>
      <c r="J325" s="51"/>
    </row>
    <row r="326" spans="1:10" ht="12.75">
      <c r="A326" s="212"/>
      <c r="B326" s="51" t="s">
        <v>180</v>
      </c>
      <c r="C326" s="212" t="s">
        <v>53</v>
      </c>
      <c r="D326" s="212">
        <v>28.73</v>
      </c>
      <c r="E326" s="243">
        <v>24</v>
      </c>
      <c r="F326" s="243">
        <v>0.24</v>
      </c>
      <c r="G326" s="221">
        <f t="shared" si="14"/>
        <v>165.48479999999998</v>
      </c>
      <c r="H326" s="219">
        <f t="shared" si="15"/>
        <v>2265.3477265264823</v>
      </c>
      <c r="I326" s="219"/>
      <c r="J326" s="51"/>
    </row>
    <row r="327" spans="1:10" ht="12.75">
      <c r="A327" s="212"/>
      <c r="B327" s="51" t="s">
        <v>181</v>
      </c>
      <c r="C327" s="212" t="s">
        <v>71</v>
      </c>
      <c r="D327" s="212">
        <v>6</v>
      </c>
      <c r="E327" s="243">
        <v>96</v>
      </c>
      <c r="F327" s="243">
        <v>0.125</v>
      </c>
      <c r="G327" s="221">
        <f t="shared" si="14"/>
        <v>72</v>
      </c>
      <c r="H327" s="219">
        <f t="shared" si="15"/>
        <v>985.6194424497401</v>
      </c>
      <c r="I327" s="219"/>
      <c r="J327" s="51"/>
    </row>
    <row r="328" spans="1:10" ht="12.75">
      <c r="A328" s="212"/>
      <c r="B328" s="47" t="s">
        <v>500</v>
      </c>
      <c r="C328" s="208"/>
      <c r="D328" s="208"/>
      <c r="E328" s="208"/>
      <c r="F328" s="208"/>
      <c r="G328" s="234">
        <f>SUM(G320:G327)</f>
        <v>2465.75604</v>
      </c>
      <c r="H328" s="218">
        <f>SUM(H320:H327)</f>
        <v>33754.12629669276</v>
      </c>
      <c r="I328" s="218"/>
      <c r="J328" s="51"/>
    </row>
    <row r="329" spans="1:10" ht="25.5">
      <c r="A329" s="215">
        <v>2</v>
      </c>
      <c r="B329" s="86" t="s">
        <v>425</v>
      </c>
      <c r="C329" s="212"/>
      <c r="D329" s="212"/>
      <c r="E329" s="210"/>
      <c r="F329" s="205"/>
      <c r="G329" s="205"/>
      <c r="H329" s="233">
        <v>11728</v>
      </c>
      <c r="I329" s="233"/>
      <c r="J329" s="205" t="s">
        <v>63</v>
      </c>
    </row>
    <row r="330" spans="1:10" ht="12.75">
      <c r="A330" s="421" t="s">
        <v>126</v>
      </c>
      <c r="B330" s="422"/>
      <c r="C330" s="422"/>
      <c r="D330" s="422"/>
      <c r="E330" s="422"/>
      <c r="F330" s="422"/>
      <c r="G330" s="422"/>
      <c r="H330" s="422"/>
      <c r="I330" s="185"/>
      <c r="J330" s="244"/>
    </row>
    <row r="331" spans="1:10" ht="12.75">
      <c r="A331" s="205">
        <v>1</v>
      </c>
      <c r="B331" s="47" t="s">
        <v>183</v>
      </c>
      <c r="C331" s="212"/>
      <c r="D331" s="212"/>
      <c r="E331" s="205"/>
      <c r="F331" s="205"/>
      <c r="G331" s="205"/>
      <c r="H331" s="235"/>
      <c r="I331" s="235"/>
      <c r="J331" s="51"/>
    </row>
    <row r="332" spans="1:10" ht="12.75">
      <c r="A332" s="215"/>
      <c r="B332" s="51" t="s">
        <v>184</v>
      </c>
      <c r="C332" s="212" t="s">
        <v>53</v>
      </c>
      <c r="D332" s="212">
        <v>8.74</v>
      </c>
      <c r="E332" s="243">
        <v>80</v>
      </c>
      <c r="F332" s="243">
        <v>0.162</v>
      </c>
      <c r="G332" s="221">
        <f>D332*E332*F332</f>
        <v>113.27040000000001</v>
      </c>
      <c r="H332" s="219">
        <f aca="true" t="shared" si="16" ref="H332:H346">153840/11238.09*G332</f>
        <v>1550.5765068619312</v>
      </c>
      <c r="I332" s="219"/>
      <c r="J332" s="51"/>
    </row>
    <row r="333" spans="1:10" ht="12.75">
      <c r="A333" s="215"/>
      <c r="B333" s="51" t="s">
        <v>180</v>
      </c>
      <c r="C333" s="212" t="s">
        <v>53</v>
      </c>
      <c r="D333" s="212">
        <v>8.74</v>
      </c>
      <c r="E333" s="243">
        <v>24</v>
      </c>
      <c r="F333" s="243">
        <v>0.24</v>
      </c>
      <c r="G333" s="221">
        <f>D333*E333*F333</f>
        <v>50.3424</v>
      </c>
      <c r="H333" s="219">
        <f t="shared" si="16"/>
        <v>689.1451141608583</v>
      </c>
      <c r="I333" s="219"/>
      <c r="J333" s="51"/>
    </row>
    <row r="334" spans="1:10" ht="12.75">
      <c r="A334" s="215"/>
      <c r="B334" s="51" t="s">
        <v>185</v>
      </c>
      <c r="C334" s="212"/>
      <c r="D334" s="212"/>
      <c r="E334" s="243"/>
      <c r="F334" s="243"/>
      <c r="G334" s="221"/>
      <c r="H334" s="219">
        <f t="shared" si="16"/>
        <v>0</v>
      </c>
      <c r="I334" s="219"/>
      <c r="J334" s="51"/>
    </row>
    <row r="335" spans="1:10" ht="12.75">
      <c r="A335" s="215"/>
      <c r="B335" s="51" t="s">
        <v>186</v>
      </c>
      <c r="C335" s="212" t="s">
        <v>53</v>
      </c>
      <c r="D335" s="212">
        <v>8.74</v>
      </c>
      <c r="E335" s="243">
        <v>36</v>
      </c>
      <c r="F335" s="243">
        <v>0.214</v>
      </c>
      <c r="G335" s="221">
        <f>D335*E335*F335</f>
        <v>67.33296</v>
      </c>
      <c r="H335" s="219">
        <f t="shared" si="16"/>
        <v>921.7315901901479</v>
      </c>
      <c r="I335" s="219"/>
      <c r="J335" s="51"/>
    </row>
    <row r="336" spans="1:10" ht="12.75">
      <c r="A336" s="215"/>
      <c r="B336" s="51" t="s">
        <v>187</v>
      </c>
      <c r="C336" s="212" t="s">
        <v>53</v>
      </c>
      <c r="D336" s="212">
        <v>8.74</v>
      </c>
      <c r="E336" s="243">
        <v>12</v>
      </c>
      <c r="F336" s="243">
        <v>1.43</v>
      </c>
      <c r="G336" s="221">
        <f>D336*E336*F336</f>
        <v>149.9784</v>
      </c>
      <c r="H336" s="219">
        <f t="shared" si="16"/>
        <v>2053.0781526042238</v>
      </c>
      <c r="I336" s="219"/>
      <c r="J336" s="51"/>
    </row>
    <row r="337" spans="1:10" ht="12.75">
      <c r="A337" s="215"/>
      <c r="B337" s="47" t="s">
        <v>500</v>
      </c>
      <c r="C337" s="212"/>
      <c r="D337" s="212"/>
      <c r="E337" s="243"/>
      <c r="F337" s="243"/>
      <c r="G337" s="234">
        <f>SUM(G332:G336)</f>
        <v>380.92416000000003</v>
      </c>
      <c r="H337" s="219">
        <f t="shared" si="16"/>
        <v>5214.531363817161</v>
      </c>
      <c r="I337" s="219"/>
      <c r="J337" s="51"/>
    </row>
    <row r="338" spans="1:10" ht="12.75">
      <c r="A338" s="215">
        <v>2</v>
      </c>
      <c r="B338" s="47" t="s">
        <v>188</v>
      </c>
      <c r="C338" s="212"/>
      <c r="D338" s="212"/>
      <c r="E338" s="224"/>
      <c r="F338" s="215"/>
      <c r="G338" s="221"/>
      <c r="H338" s="219">
        <f t="shared" si="16"/>
        <v>0</v>
      </c>
      <c r="I338" s="219"/>
      <c r="J338" s="51"/>
    </row>
    <row r="339" spans="1:10" ht="12.75">
      <c r="A339" s="215"/>
      <c r="B339" s="51" t="s">
        <v>330</v>
      </c>
      <c r="C339" s="212" t="s">
        <v>53</v>
      </c>
      <c r="D339" s="212">
        <v>97.15</v>
      </c>
      <c r="E339" s="243">
        <f>2*4*9</f>
        <v>72</v>
      </c>
      <c r="F339" s="243">
        <v>0.091</v>
      </c>
      <c r="G339" s="221">
        <f aca="true" t="shared" si="17" ref="G339:G346">D339*E339*F339</f>
        <v>636.5268</v>
      </c>
      <c r="H339" s="219">
        <f t="shared" si="16"/>
        <v>8713.516523893295</v>
      </c>
      <c r="I339" s="219"/>
      <c r="J339" s="51"/>
    </row>
    <row r="340" spans="1:10" ht="12.75">
      <c r="A340" s="215"/>
      <c r="B340" s="51" t="s">
        <v>331</v>
      </c>
      <c r="C340" s="212" t="s">
        <v>53</v>
      </c>
      <c r="D340" s="212">
        <v>24.74</v>
      </c>
      <c r="E340" s="243">
        <f>2*4*9</f>
        <v>72</v>
      </c>
      <c r="F340" s="243">
        <v>0.091</v>
      </c>
      <c r="G340" s="221">
        <f t="shared" si="17"/>
        <v>162.09647999999999</v>
      </c>
      <c r="H340" s="219">
        <f t="shared" si="16"/>
        <v>2218.964475564798</v>
      </c>
      <c r="I340" s="219"/>
      <c r="J340" s="51"/>
    </row>
    <row r="341" spans="1:10" ht="12.75">
      <c r="A341" s="215"/>
      <c r="B341" s="51" t="s">
        <v>332</v>
      </c>
      <c r="C341" s="212" t="s">
        <v>53</v>
      </c>
      <c r="D341" s="212">
        <v>329.98</v>
      </c>
      <c r="E341" s="243">
        <v>36</v>
      </c>
      <c r="F341" s="243">
        <v>0.03</v>
      </c>
      <c r="G341" s="221">
        <f t="shared" si="17"/>
        <v>356.3784</v>
      </c>
      <c r="H341" s="219">
        <f t="shared" si="16"/>
        <v>4878.520554293478</v>
      </c>
      <c r="I341" s="219"/>
      <c r="J341" s="51"/>
    </row>
    <row r="342" spans="1:10" ht="12.75">
      <c r="A342" s="215"/>
      <c r="B342" s="51" t="s">
        <v>190</v>
      </c>
      <c r="C342" s="212" t="s">
        <v>53</v>
      </c>
      <c r="D342" s="212">
        <v>117.32</v>
      </c>
      <c r="E342" s="243">
        <f>7*9</f>
        <v>63</v>
      </c>
      <c r="F342" s="243">
        <v>0.129</v>
      </c>
      <c r="G342" s="221">
        <f t="shared" si="17"/>
        <v>953.45964</v>
      </c>
      <c r="H342" s="219">
        <f t="shared" si="16"/>
        <v>13052.060538543472</v>
      </c>
      <c r="I342" s="219"/>
      <c r="J342" s="51"/>
    </row>
    <row r="343" spans="1:10" ht="12.75">
      <c r="A343" s="215"/>
      <c r="B343" s="51" t="s">
        <v>191</v>
      </c>
      <c r="C343" s="212" t="s">
        <v>203</v>
      </c>
      <c r="D343" s="212">
        <v>0.2</v>
      </c>
      <c r="E343" s="243">
        <v>72</v>
      </c>
      <c r="F343" s="243">
        <v>1.128</v>
      </c>
      <c r="G343" s="221">
        <f t="shared" si="17"/>
        <v>16.243199999999998</v>
      </c>
      <c r="H343" s="219">
        <f t="shared" si="16"/>
        <v>222.35574621666134</v>
      </c>
      <c r="I343" s="219"/>
      <c r="J343" s="51"/>
    </row>
    <row r="344" spans="1:10" ht="12.75">
      <c r="A344" s="215"/>
      <c r="B344" s="51" t="s">
        <v>195</v>
      </c>
      <c r="C344" s="212" t="s">
        <v>203</v>
      </c>
      <c r="D344" s="212">
        <v>16.2</v>
      </c>
      <c r="E344" s="243">
        <v>1</v>
      </c>
      <c r="F344" s="243">
        <v>0.68</v>
      </c>
      <c r="G344" s="221">
        <f t="shared" si="17"/>
        <v>11.016</v>
      </c>
      <c r="H344" s="219">
        <f t="shared" si="16"/>
        <v>150.79977469481022</v>
      </c>
      <c r="I344" s="219"/>
      <c r="J344" s="51"/>
    </row>
    <row r="345" spans="1:10" ht="12.75">
      <c r="A345" s="215"/>
      <c r="B345" s="51" t="s">
        <v>196</v>
      </c>
      <c r="C345" s="212" t="s">
        <v>80</v>
      </c>
      <c r="D345" s="212">
        <v>14</v>
      </c>
      <c r="E345" s="243">
        <v>72</v>
      </c>
      <c r="F345" s="243">
        <v>0.125</v>
      </c>
      <c r="G345" s="221">
        <f t="shared" si="17"/>
        <v>126</v>
      </c>
      <c r="H345" s="219">
        <f t="shared" si="16"/>
        <v>1724.8340242870452</v>
      </c>
      <c r="I345" s="219"/>
      <c r="J345" s="51"/>
    </row>
    <row r="346" spans="1:10" ht="12.75">
      <c r="A346" s="215"/>
      <c r="B346" s="51" t="s">
        <v>153</v>
      </c>
      <c r="C346" s="212" t="s">
        <v>61</v>
      </c>
      <c r="D346" s="212">
        <f>6*8</f>
        <v>48</v>
      </c>
      <c r="E346" s="243">
        <v>8</v>
      </c>
      <c r="F346" s="243">
        <v>1</v>
      </c>
      <c r="G346" s="221">
        <f t="shared" si="17"/>
        <v>384</v>
      </c>
      <c r="H346" s="219">
        <f t="shared" si="16"/>
        <v>5256.637026398614</v>
      </c>
      <c r="I346" s="219"/>
      <c r="J346" s="51"/>
    </row>
    <row r="347" spans="1:10" ht="12.75">
      <c r="A347" s="215"/>
      <c r="B347" s="47" t="s">
        <v>528</v>
      </c>
      <c r="C347" s="212"/>
      <c r="D347" s="212"/>
      <c r="E347" s="243"/>
      <c r="F347" s="243"/>
      <c r="G347" s="234">
        <f>SUM(G339:G346)</f>
        <v>2645.7205200000003</v>
      </c>
      <c r="H347" s="218">
        <f>SUM(H339:H346)</f>
        <v>36217.68866389217</v>
      </c>
      <c r="I347" s="218"/>
      <c r="J347" s="51"/>
    </row>
    <row r="348" spans="1:10" ht="15">
      <c r="A348" s="215"/>
      <c r="B348" s="2" t="s">
        <v>427</v>
      </c>
      <c r="C348" s="212"/>
      <c r="D348" s="212"/>
      <c r="E348" s="243"/>
      <c r="F348" s="243"/>
      <c r="G348" s="207">
        <f>G316+G328+G337+G347</f>
        <v>11088.092920000001</v>
      </c>
      <c r="H348" s="242">
        <f>H316+H328+H337+H347</f>
        <v>151786.6661339071</v>
      </c>
      <c r="I348" s="242"/>
      <c r="J348" s="51"/>
    </row>
    <row r="349" spans="1:10" ht="12.75">
      <c r="A349" s="215">
        <v>3</v>
      </c>
      <c r="B349" s="93" t="s">
        <v>505</v>
      </c>
      <c r="C349" s="215" t="s">
        <v>476</v>
      </c>
      <c r="D349" s="215"/>
      <c r="E349" s="210"/>
      <c r="F349" s="205"/>
      <c r="G349" s="207"/>
      <c r="H349" s="241"/>
      <c r="I349" s="241"/>
      <c r="J349" s="205"/>
    </row>
    <row r="350" spans="1:10" ht="12.75">
      <c r="A350" s="215"/>
      <c r="B350" s="51" t="s">
        <v>461</v>
      </c>
      <c r="C350" s="215" t="s">
        <v>476</v>
      </c>
      <c r="D350" s="215">
        <v>60</v>
      </c>
      <c r="E350" s="224">
        <v>1</v>
      </c>
      <c r="F350" s="215">
        <v>1</v>
      </c>
      <c r="G350" s="215">
        <v>60</v>
      </c>
      <c r="H350" s="219">
        <f>153840/11238.09*G350</f>
        <v>821.3495353747834</v>
      </c>
      <c r="I350" s="219"/>
      <c r="J350" s="205"/>
    </row>
    <row r="351" spans="1:10" ht="12.75">
      <c r="A351" s="215"/>
      <c r="B351" s="51" t="s">
        <v>456</v>
      </c>
      <c r="C351" s="215" t="s">
        <v>476</v>
      </c>
      <c r="D351" s="215">
        <v>20</v>
      </c>
      <c r="E351" s="224">
        <v>1</v>
      </c>
      <c r="F351" s="215">
        <v>1</v>
      </c>
      <c r="G351" s="215">
        <v>20</v>
      </c>
      <c r="H351" s="219">
        <f>153840/11238.09*G351</f>
        <v>273.78317845826115</v>
      </c>
      <c r="I351" s="219"/>
      <c r="J351" s="205"/>
    </row>
    <row r="352" spans="1:10" ht="12.75">
      <c r="A352" s="215"/>
      <c r="B352" s="51" t="s">
        <v>490</v>
      </c>
      <c r="C352" s="215" t="s">
        <v>476</v>
      </c>
      <c r="D352" s="215">
        <v>20</v>
      </c>
      <c r="E352" s="224">
        <v>1</v>
      </c>
      <c r="F352" s="215">
        <v>1</v>
      </c>
      <c r="G352" s="215">
        <v>20</v>
      </c>
      <c r="H352" s="219">
        <f>153840/11238.09*G352</f>
        <v>273.78317845826115</v>
      </c>
      <c r="I352" s="219"/>
      <c r="J352" s="205"/>
    </row>
    <row r="353" spans="1:10" ht="12.75">
      <c r="A353" s="215"/>
      <c r="B353" s="51" t="s">
        <v>457</v>
      </c>
      <c r="C353" s="215" t="s">
        <v>476</v>
      </c>
      <c r="D353" s="215">
        <v>16</v>
      </c>
      <c r="E353" s="224">
        <v>1</v>
      </c>
      <c r="F353" s="215">
        <v>1</v>
      </c>
      <c r="G353" s="215">
        <v>16</v>
      </c>
      <c r="H353" s="219">
        <f>153840/11238.09*G353</f>
        <v>219.0265427666089</v>
      </c>
      <c r="I353" s="219"/>
      <c r="J353" s="205"/>
    </row>
    <row r="354" spans="1:10" ht="12.75">
      <c r="A354" s="227"/>
      <c r="B354" s="51" t="s">
        <v>458</v>
      </c>
      <c r="C354" s="215" t="s">
        <v>476</v>
      </c>
      <c r="D354" s="215">
        <v>34</v>
      </c>
      <c r="E354" s="224">
        <v>1</v>
      </c>
      <c r="F354" s="215">
        <v>1</v>
      </c>
      <c r="G354" s="215">
        <v>34</v>
      </c>
      <c r="H354" s="219">
        <f>153840/11238.09*G354</f>
        <v>465.43140337904396</v>
      </c>
      <c r="I354" s="219"/>
      <c r="J354" s="51"/>
    </row>
    <row r="355" spans="1:10" ht="12.75">
      <c r="A355" s="227"/>
      <c r="B355" s="47" t="s">
        <v>413</v>
      </c>
      <c r="C355" s="215"/>
      <c r="D355" s="215"/>
      <c r="E355" s="224"/>
      <c r="F355" s="215"/>
      <c r="G355" s="205">
        <f>SUM(G350:G354)</f>
        <v>150</v>
      </c>
      <c r="H355" s="229">
        <f>SUM(H350:H354)</f>
        <v>2053.3738384369585</v>
      </c>
      <c r="I355" s="229"/>
      <c r="J355" s="51"/>
    </row>
    <row r="356" spans="1:10" ht="25.5">
      <c r="A356" s="51"/>
      <c r="B356" s="226" t="s">
        <v>529</v>
      </c>
      <c r="C356" s="51"/>
      <c r="D356" s="51"/>
      <c r="E356" s="51"/>
      <c r="F356" s="51"/>
      <c r="G356" s="240">
        <f>G348+G355</f>
        <v>11238.092920000001</v>
      </c>
      <c r="H356" s="201">
        <f>H348+H355</f>
        <v>153840.03997234406</v>
      </c>
      <c r="I356" s="201"/>
      <c r="J356" s="51"/>
    </row>
    <row r="357" spans="1:10" ht="15">
      <c r="A357" s="227">
        <v>4</v>
      </c>
      <c r="B357" s="86" t="s">
        <v>504</v>
      </c>
      <c r="C357" s="215"/>
      <c r="D357" s="215"/>
      <c r="E357" s="224"/>
      <c r="F357" s="215"/>
      <c r="G357" s="234">
        <f>G358+G359+G360+G361+G362</f>
        <v>1293</v>
      </c>
      <c r="H357" s="229">
        <f>SUM(H358:H362)</f>
        <v>22246</v>
      </c>
      <c r="I357" s="323">
        <f>I358+I359+I360+I361+I362</f>
        <v>4520.73</v>
      </c>
      <c r="J357" s="51"/>
    </row>
    <row r="358" spans="1:10" ht="14.25">
      <c r="A358" s="212"/>
      <c r="B358" s="93" t="s">
        <v>272</v>
      </c>
      <c r="C358" s="224"/>
      <c r="D358" s="224"/>
      <c r="E358" s="239"/>
      <c r="F358" s="239"/>
      <c r="G358" s="238">
        <v>28</v>
      </c>
      <c r="H358" s="238">
        <f>3308+207+76</f>
        <v>3591</v>
      </c>
      <c r="I358" s="238">
        <v>0</v>
      </c>
      <c r="J358" s="237" t="s">
        <v>494</v>
      </c>
    </row>
    <row r="359" spans="1:10" ht="12.75">
      <c r="A359" s="215"/>
      <c r="B359" s="236" t="s">
        <v>496</v>
      </c>
      <c r="C359" s="205" t="s">
        <v>53</v>
      </c>
      <c r="D359" s="205">
        <f>1.375</f>
        <v>1.375</v>
      </c>
      <c r="E359" s="210"/>
      <c r="F359" s="205"/>
      <c r="G359" s="205">
        <f>572</f>
        <v>572</v>
      </c>
      <c r="H359" s="205">
        <f>2000+930+3258+1198</f>
        <v>7386</v>
      </c>
      <c r="I359" s="205">
        <f>734.53+967+355.5</f>
        <v>2057.0299999999997</v>
      </c>
      <c r="J359" s="232" t="s">
        <v>498</v>
      </c>
    </row>
    <row r="360" spans="1:10" ht="12.75">
      <c r="A360" s="215"/>
      <c r="B360" s="236" t="s">
        <v>478</v>
      </c>
      <c r="C360" s="205"/>
      <c r="D360" s="205"/>
      <c r="E360" s="210"/>
      <c r="F360" s="205"/>
      <c r="G360" s="205">
        <v>398</v>
      </c>
      <c r="H360" s="235">
        <f>256+3995+1468</f>
        <v>5719</v>
      </c>
      <c r="I360" s="235">
        <v>0</v>
      </c>
      <c r="J360" s="232" t="s">
        <v>497</v>
      </c>
    </row>
    <row r="361" spans="1:10" ht="24">
      <c r="A361" s="215"/>
      <c r="B361" s="47" t="s">
        <v>270</v>
      </c>
      <c r="C361" s="212" t="s">
        <v>53</v>
      </c>
      <c r="D361" s="212">
        <f>2.58+0.065</f>
        <v>2.645</v>
      </c>
      <c r="E361" s="210"/>
      <c r="F361" s="205"/>
      <c r="G361" s="234">
        <v>262</v>
      </c>
      <c r="H361" s="235">
        <f>911+2545+936</f>
        <v>4392</v>
      </c>
      <c r="I361" s="218">
        <f>277.3+834+306.6</f>
        <v>1417.9</v>
      </c>
      <c r="J361" s="232" t="s">
        <v>440</v>
      </c>
    </row>
    <row r="362" spans="1:10" ht="12.75">
      <c r="A362" s="215"/>
      <c r="B362" s="93" t="s">
        <v>499</v>
      </c>
      <c r="C362" s="210" t="s">
        <v>73</v>
      </c>
      <c r="D362" s="210">
        <f>0.17+0.077</f>
        <v>0.247</v>
      </c>
      <c r="E362" s="210"/>
      <c r="F362" s="231"/>
      <c r="G362" s="230">
        <v>33</v>
      </c>
      <c r="H362" s="229">
        <f>713+325+120</f>
        <v>1158</v>
      </c>
      <c r="I362" s="323">
        <f>600.8+325+120</f>
        <v>1045.8</v>
      </c>
      <c r="J362" s="232" t="s">
        <v>493</v>
      </c>
    </row>
    <row r="363" spans="1:10" ht="24">
      <c r="A363" s="215"/>
      <c r="B363" s="2" t="s">
        <v>562</v>
      </c>
      <c r="C363" s="212"/>
      <c r="D363" s="212"/>
      <c r="E363" s="210"/>
      <c r="F363" s="205"/>
      <c r="G363" s="234"/>
      <c r="H363" s="233">
        <v>27224</v>
      </c>
      <c r="I363" s="233">
        <v>0</v>
      </c>
      <c r="J363" s="232" t="s">
        <v>563</v>
      </c>
    </row>
    <row r="364" spans="1:10" ht="12.75">
      <c r="A364" s="215">
        <v>5</v>
      </c>
      <c r="B364" s="47" t="s">
        <v>228</v>
      </c>
      <c r="C364" s="210"/>
      <c r="D364" s="210"/>
      <c r="E364" s="210"/>
      <c r="F364" s="231"/>
      <c r="G364" s="230"/>
      <c r="H364" s="229"/>
      <c r="I364" s="229"/>
      <c r="J364" s="205"/>
    </row>
    <row r="365" spans="1:10" ht="15">
      <c r="A365" s="227"/>
      <c r="B365" s="47" t="s">
        <v>564</v>
      </c>
      <c r="C365" s="215" t="s">
        <v>80</v>
      </c>
      <c r="D365" s="215">
        <v>1</v>
      </c>
      <c r="E365" s="210"/>
      <c r="F365" s="205"/>
      <c r="G365" s="207"/>
      <c r="H365" s="228">
        <v>8640</v>
      </c>
      <c r="I365" s="228">
        <v>0</v>
      </c>
      <c r="J365" s="51"/>
    </row>
    <row r="366" spans="1:11" ht="25.5">
      <c r="A366" s="227"/>
      <c r="B366" s="226" t="s">
        <v>361</v>
      </c>
      <c r="C366" s="215"/>
      <c r="D366" s="215"/>
      <c r="E366" s="215"/>
      <c r="F366" s="215"/>
      <c r="G366" s="207"/>
      <c r="H366" s="206">
        <f>H329+H356+H357+H365+H363</f>
        <v>223678.03997234406</v>
      </c>
      <c r="I366" s="206"/>
      <c r="J366" s="51"/>
      <c r="K366" s="225"/>
    </row>
    <row r="367" spans="1:10" ht="12.75">
      <c r="A367" s="421" t="s">
        <v>25</v>
      </c>
      <c r="B367" s="422"/>
      <c r="C367" s="422"/>
      <c r="D367" s="422"/>
      <c r="E367" s="422"/>
      <c r="F367" s="422"/>
      <c r="G367" s="422"/>
      <c r="H367" s="422"/>
      <c r="I367" s="185"/>
      <c r="J367" s="51"/>
    </row>
    <row r="368" spans="1:10" ht="12.75">
      <c r="A368" s="51">
        <v>1</v>
      </c>
      <c r="B368" s="47" t="s">
        <v>200</v>
      </c>
      <c r="C368" s="51"/>
      <c r="D368" s="51"/>
      <c r="E368" s="224"/>
      <c r="F368" s="215"/>
      <c r="G368" s="215"/>
      <c r="H368" s="223"/>
      <c r="I368" s="223"/>
      <c r="J368" s="51"/>
    </row>
    <row r="369" spans="1:10" ht="12.75">
      <c r="A369" s="212"/>
      <c r="B369" s="51" t="s">
        <v>201</v>
      </c>
      <c r="C369" s="212" t="s">
        <v>53</v>
      </c>
      <c r="D369" s="212">
        <v>1.08</v>
      </c>
      <c r="E369" s="216">
        <v>3</v>
      </c>
      <c r="F369" s="215">
        <v>0.23</v>
      </c>
      <c r="G369" s="221">
        <f>D369*E369*F369</f>
        <v>0.7452000000000001</v>
      </c>
      <c r="H369" s="219">
        <f aca="true" t="shared" si="18" ref="H369:H385">34453/2365.83*G369</f>
        <v>10.85216418762126</v>
      </c>
      <c r="I369" s="219"/>
      <c r="J369" s="51"/>
    </row>
    <row r="370" spans="1:10" ht="12.75">
      <c r="A370" s="212"/>
      <c r="B370" s="51" t="s">
        <v>202</v>
      </c>
      <c r="C370" s="212" t="s">
        <v>203</v>
      </c>
      <c r="D370" s="212">
        <v>30</v>
      </c>
      <c r="E370" s="216">
        <v>1</v>
      </c>
      <c r="F370" s="215">
        <v>0.35</v>
      </c>
      <c r="G370" s="221">
        <f>D370*E370*F370</f>
        <v>10.5</v>
      </c>
      <c r="H370" s="219">
        <f t="shared" si="18"/>
        <v>152.90891568709503</v>
      </c>
      <c r="I370" s="219"/>
      <c r="J370" s="51"/>
    </row>
    <row r="371" spans="1:10" ht="12.75">
      <c r="A371" s="212"/>
      <c r="B371" s="51" t="s">
        <v>204</v>
      </c>
      <c r="C371" s="212" t="s">
        <v>135</v>
      </c>
      <c r="D371" s="212">
        <v>4</v>
      </c>
      <c r="E371" s="216">
        <v>12</v>
      </c>
      <c r="F371" s="215">
        <v>1.35</v>
      </c>
      <c r="G371" s="221">
        <f>D371*E371*F371</f>
        <v>64.80000000000001</v>
      </c>
      <c r="H371" s="219">
        <f t="shared" si="18"/>
        <v>943.6664510975008</v>
      </c>
      <c r="I371" s="219"/>
      <c r="J371" s="51"/>
    </row>
    <row r="372" spans="1:10" ht="12.75">
      <c r="A372" s="212"/>
      <c r="B372" s="51" t="s">
        <v>205</v>
      </c>
      <c r="C372" s="212" t="s">
        <v>53</v>
      </c>
      <c r="D372" s="212">
        <v>1.08</v>
      </c>
      <c r="E372" s="216">
        <v>72</v>
      </c>
      <c r="F372" s="215">
        <v>0.03</v>
      </c>
      <c r="G372" s="221">
        <f>D372*E372*F372</f>
        <v>2.3328</v>
      </c>
      <c r="H372" s="219">
        <f t="shared" si="18"/>
        <v>33.97199223951003</v>
      </c>
      <c r="I372" s="219"/>
      <c r="J372" s="51"/>
    </row>
    <row r="373" spans="1:10" ht="12.75">
      <c r="A373" s="212"/>
      <c r="B373" s="51" t="s">
        <v>206</v>
      </c>
      <c r="C373" s="212" t="s">
        <v>53</v>
      </c>
      <c r="D373" s="211">
        <f>100/100</f>
        <v>1</v>
      </c>
      <c r="E373" s="216">
        <v>12</v>
      </c>
      <c r="F373" s="215">
        <v>1.21</v>
      </c>
      <c r="G373" s="221">
        <f>D373*E373*F373</f>
        <v>14.52</v>
      </c>
      <c r="H373" s="219">
        <f t="shared" si="18"/>
        <v>211.45118626443997</v>
      </c>
      <c r="I373" s="219"/>
      <c r="J373" s="51"/>
    </row>
    <row r="374" spans="1:10" ht="12.75">
      <c r="A374" s="212"/>
      <c r="B374" s="51"/>
      <c r="C374" s="212"/>
      <c r="D374" s="212"/>
      <c r="E374" s="216"/>
      <c r="F374" s="215"/>
      <c r="G374" s="221"/>
      <c r="H374" s="219">
        <f t="shared" si="18"/>
        <v>0</v>
      </c>
      <c r="I374" s="219"/>
      <c r="J374" s="51"/>
    </row>
    <row r="375" spans="1:10" ht="12.75">
      <c r="A375" s="212">
        <v>2</v>
      </c>
      <c r="B375" s="47" t="s">
        <v>207</v>
      </c>
      <c r="C375" s="212"/>
      <c r="D375" s="212"/>
      <c r="E375" s="216"/>
      <c r="F375" s="215"/>
      <c r="G375" s="221"/>
      <c r="H375" s="219">
        <f t="shared" si="18"/>
        <v>0</v>
      </c>
      <c r="I375" s="219"/>
      <c r="J375" s="51"/>
    </row>
    <row r="376" spans="1:10" ht="12.75">
      <c r="A376" s="212"/>
      <c r="B376" s="51" t="s">
        <v>208</v>
      </c>
      <c r="C376" s="212" t="s">
        <v>53</v>
      </c>
      <c r="D376" s="222">
        <f>5000/100</f>
        <v>50</v>
      </c>
      <c r="E376" s="216">
        <v>3</v>
      </c>
      <c r="F376" s="215">
        <v>0.23</v>
      </c>
      <c r="G376" s="221">
        <f aca="true" t="shared" si="19" ref="G376:G385">D376*E376*F376</f>
        <v>34.5</v>
      </c>
      <c r="H376" s="219">
        <f t="shared" si="18"/>
        <v>502.41500868616936</v>
      </c>
      <c r="I376" s="219"/>
      <c r="J376" s="51"/>
    </row>
    <row r="377" spans="1:10" ht="12.75">
      <c r="A377" s="212"/>
      <c r="B377" s="51" t="s">
        <v>541</v>
      </c>
      <c r="C377" s="212" t="s">
        <v>53</v>
      </c>
      <c r="D377" s="212">
        <v>1.44</v>
      </c>
      <c r="E377" s="216">
        <v>27</v>
      </c>
      <c r="F377" s="215">
        <v>0.03</v>
      </c>
      <c r="G377" s="221">
        <f t="shared" si="19"/>
        <v>1.1663999999999999</v>
      </c>
      <c r="H377" s="219">
        <f t="shared" si="18"/>
        <v>16.98599611975501</v>
      </c>
      <c r="I377" s="219"/>
      <c r="J377" s="51"/>
    </row>
    <row r="378" spans="1:10" ht="12.75">
      <c r="A378" s="212"/>
      <c r="B378" s="51" t="s">
        <v>211</v>
      </c>
      <c r="C378" s="212" t="s">
        <v>53</v>
      </c>
      <c r="D378" s="212">
        <f>1945/100</f>
        <v>19.45</v>
      </c>
      <c r="E378" s="216">
        <v>27</v>
      </c>
      <c r="F378" s="215">
        <v>0.03</v>
      </c>
      <c r="G378" s="221">
        <f t="shared" si="19"/>
        <v>15.754499999999998</v>
      </c>
      <c r="H378" s="219">
        <f t="shared" si="18"/>
        <v>229.42890592307984</v>
      </c>
      <c r="I378" s="219"/>
      <c r="J378" s="51"/>
    </row>
    <row r="379" spans="1:10" ht="12.75">
      <c r="A379" s="212"/>
      <c r="B379" s="51" t="s">
        <v>212</v>
      </c>
      <c r="C379" s="212"/>
      <c r="D379" s="212"/>
      <c r="E379" s="216"/>
      <c r="F379" s="215"/>
      <c r="G379" s="221">
        <f t="shared" si="19"/>
        <v>0</v>
      </c>
      <c r="H379" s="219">
        <f t="shared" si="18"/>
        <v>0</v>
      </c>
      <c r="I379" s="219"/>
      <c r="J379" s="51"/>
    </row>
    <row r="380" spans="1:10" ht="12.75">
      <c r="A380" s="212"/>
      <c r="B380" s="51" t="s">
        <v>213</v>
      </c>
      <c r="C380" s="212" t="s">
        <v>53</v>
      </c>
      <c r="D380" s="212">
        <v>27.86</v>
      </c>
      <c r="E380" s="216">
        <v>12</v>
      </c>
      <c r="F380" s="215">
        <v>1.21</v>
      </c>
      <c r="G380" s="221">
        <f t="shared" si="19"/>
        <v>404.5272</v>
      </c>
      <c r="H380" s="219">
        <f t="shared" si="18"/>
        <v>5891.030049327297</v>
      </c>
      <c r="I380" s="219"/>
      <c r="J380" s="51"/>
    </row>
    <row r="381" spans="1:10" ht="12.75">
      <c r="A381" s="212"/>
      <c r="B381" s="51" t="s">
        <v>214</v>
      </c>
      <c r="C381" s="212" t="s">
        <v>179</v>
      </c>
      <c r="D381" s="212">
        <v>3</v>
      </c>
      <c r="E381" s="216">
        <v>12</v>
      </c>
      <c r="F381" s="215">
        <v>1.35</v>
      </c>
      <c r="G381" s="221">
        <f t="shared" si="19"/>
        <v>48.6</v>
      </c>
      <c r="H381" s="219">
        <f t="shared" si="18"/>
        <v>707.7498383231256</v>
      </c>
      <c r="I381" s="219"/>
      <c r="J381" s="51"/>
    </row>
    <row r="382" spans="1:10" ht="12.75">
      <c r="A382" s="212"/>
      <c r="B382" s="51" t="s">
        <v>215</v>
      </c>
      <c r="C382" s="212" t="s">
        <v>53</v>
      </c>
      <c r="D382" s="212">
        <v>27.86</v>
      </c>
      <c r="E382" s="216">
        <v>6</v>
      </c>
      <c r="F382" s="215">
        <v>0.4</v>
      </c>
      <c r="G382" s="221">
        <f t="shared" si="19"/>
        <v>66.864</v>
      </c>
      <c r="H382" s="219">
        <f t="shared" si="18"/>
        <v>973.7239750954211</v>
      </c>
      <c r="I382" s="219"/>
      <c r="J382" s="51"/>
    </row>
    <row r="383" spans="1:10" ht="12.75">
      <c r="A383" s="212"/>
      <c r="B383" s="51" t="s">
        <v>216</v>
      </c>
      <c r="C383" s="212" t="s">
        <v>53</v>
      </c>
      <c r="D383" s="222">
        <f>22000*0.1/100</f>
        <v>22</v>
      </c>
      <c r="E383" s="216">
        <v>72</v>
      </c>
      <c r="F383" s="215">
        <v>0.03</v>
      </c>
      <c r="G383" s="221">
        <f t="shared" si="19"/>
        <v>47.519999999999996</v>
      </c>
      <c r="H383" s="219">
        <f t="shared" si="18"/>
        <v>692.0220641381671</v>
      </c>
      <c r="I383" s="219"/>
      <c r="J383" s="51"/>
    </row>
    <row r="384" spans="1:10" ht="12.75">
      <c r="A384" s="212"/>
      <c r="B384" s="51" t="s">
        <v>217</v>
      </c>
      <c r="C384" s="212" t="s">
        <v>61</v>
      </c>
      <c r="D384" s="222">
        <v>120</v>
      </c>
      <c r="E384" s="216">
        <v>12</v>
      </c>
      <c r="F384" s="215">
        <v>1</v>
      </c>
      <c r="G384" s="221">
        <f t="shared" si="19"/>
        <v>1440</v>
      </c>
      <c r="H384" s="219">
        <f t="shared" si="18"/>
        <v>20970.36557994446</v>
      </c>
      <c r="I384" s="219"/>
      <c r="J384" s="51"/>
    </row>
    <row r="385" spans="1:10" ht="12.75">
      <c r="A385" s="212"/>
      <c r="B385" s="51" t="s">
        <v>153</v>
      </c>
      <c r="C385" s="212" t="s">
        <v>61</v>
      </c>
      <c r="D385" s="222">
        <f>8*8</f>
        <v>64</v>
      </c>
      <c r="E385" s="216">
        <v>1</v>
      </c>
      <c r="F385" s="215">
        <v>1</v>
      </c>
      <c r="G385" s="221">
        <f t="shared" si="19"/>
        <v>64</v>
      </c>
      <c r="H385" s="219">
        <f t="shared" si="18"/>
        <v>932.0162479975315</v>
      </c>
      <c r="I385" s="219"/>
      <c r="J385" s="51"/>
    </row>
    <row r="386" spans="1:10" ht="12.75">
      <c r="A386" s="212"/>
      <c r="B386" s="47" t="s">
        <v>413</v>
      </c>
      <c r="C386" s="212"/>
      <c r="D386" s="212"/>
      <c r="E386" s="210"/>
      <c r="F386" s="205"/>
      <c r="G386" s="207">
        <f>SUM(G369:G385)</f>
        <v>2215.8301</v>
      </c>
      <c r="H386" s="218">
        <f>SUM(H369:H385)</f>
        <v>32268.588375031177</v>
      </c>
      <c r="I386" s="218"/>
      <c r="J386" s="51"/>
    </row>
    <row r="387" spans="1:10" ht="12.75">
      <c r="A387" s="212">
        <v>3</v>
      </c>
      <c r="B387" s="93" t="s">
        <v>506</v>
      </c>
      <c r="C387" s="212"/>
      <c r="D387" s="220"/>
      <c r="E387" s="216"/>
      <c r="F387" s="215"/>
      <c r="G387" s="221"/>
      <c r="H387" s="219"/>
      <c r="I387" s="219"/>
      <c r="J387" s="51"/>
    </row>
    <row r="388" spans="1:10" ht="12.75">
      <c r="A388" s="212"/>
      <c r="B388" s="51" t="s">
        <v>491</v>
      </c>
      <c r="C388" s="215" t="s">
        <v>476</v>
      </c>
      <c r="D388" s="220">
        <v>40</v>
      </c>
      <c r="E388" s="216">
        <v>1</v>
      </c>
      <c r="F388" s="215">
        <v>1</v>
      </c>
      <c r="G388" s="220">
        <v>40</v>
      </c>
      <c r="H388" s="219">
        <f>34453/2365.83*G388</f>
        <v>582.5101549984572</v>
      </c>
      <c r="I388" s="219"/>
      <c r="J388" s="51"/>
    </row>
    <row r="389" spans="1:10" ht="12.75">
      <c r="A389" s="212"/>
      <c r="B389" s="51" t="s">
        <v>462</v>
      </c>
      <c r="C389" s="215" t="s">
        <v>476</v>
      </c>
      <c r="D389" s="220">
        <v>50</v>
      </c>
      <c r="E389" s="216">
        <v>1</v>
      </c>
      <c r="F389" s="215">
        <v>1</v>
      </c>
      <c r="G389" s="220">
        <v>50</v>
      </c>
      <c r="H389" s="219">
        <f>34453/2365.83*G389</f>
        <v>728.1376937480716</v>
      </c>
      <c r="I389" s="219"/>
      <c r="J389" s="51"/>
    </row>
    <row r="390" spans="1:10" ht="12.75">
      <c r="A390" s="212"/>
      <c r="B390" s="51" t="s">
        <v>460</v>
      </c>
      <c r="C390" s="215" t="s">
        <v>476</v>
      </c>
      <c r="D390" s="220">
        <v>60</v>
      </c>
      <c r="E390" s="216">
        <v>1</v>
      </c>
      <c r="F390" s="215">
        <v>1</v>
      </c>
      <c r="G390" s="220">
        <v>60</v>
      </c>
      <c r="H390" s="219">
        <f>34453/2365.83*G390</f>
        <v>873.7652324976858</v>
      </c>
      <c r="I390" s="219"/>
      <c r="J390" s="51"/>
    </row>
    <row r="391" spans="1:10" ht="12.75">
      <c r="A391" s="212"/>
      <c r="B391" s="47" t="s">
        <v>413</v>
      </c>
      <c r="C391" s="215"/>
      <c r="D391" s="217">
        <f>SUM(D388:D390)</f>
        <v>150</v>
      </c>
      <c r="E391" s="216"/>
      <c r="F391" s="215"/>
      <c r="G391" s="217">
        <f>SUM(G388:G390)</f>
        <v>150</v>
      </c>
      <c r="H391" s="218">
        <f>SUM(H388:H390)</f>
        <v>2184.4130812442145</v>
      </c>
      <c r="I391" s="218"/>
      <c r="J391" s="51"/>
    </row>
    <row r="392" spans="1:10" ht="15">
      <c r="A392" s="212"/>
      <c r="B392" s="47" t="s">
        <v>556</v>
      </c>
      <c r="C392" s="215"/>
      <c r="D392" s="217"/>
      <c r="E392" s="216"/>
      <c r="F392" s="215"/>
      <c r="G392" s="214">
        <f>G386+G391</f>
        <v>2365.8301</v>
      </c>
      <c r="H392" s="213">
        <f>H386+H391</f>
        <v>34453.00145627539</v>
      </c>
      <c r="I392" s="213"/>
      <c r="J392" s="51"/>
    </row>
    <row r="393" spans="1:10" ht="12.75">
      <c r="A393" s="212">
        <v>4</v>
      </c>
      <c r="B393" s="47" t="s">
        <v>549</v>
      </c>
      <c r="C393" s="212" t="s">
        <v>53</v>
      </c>
      <c r="D393" s="211">
        <f>0.05+0.13+3.024+0.189</f>
        <v>3.3930000000000002</v>
      </c>
      <c r="E393" s="210"/>
      <c r="F393" s="205"/>
      <c r="G393" s="207">
        <v>112</v>
      </c>
      <c r="H393" s="209">
        <f>171+938+345</f>
        <v>1454</v>
      </c>
      <c r="I393" s="209">
        <f>112.52+501+184</f>
        <v>797.52</v>
      </c>
      <c r="J393" s="208" t="s">
        <v>501</v>
      </c>
    </row>
    <row r="394" spans="1:10" ht="15">
      <c r="A394" s="51"/>
      <c r="B394" s="47" t="s">
        <v>357</v>
      </c>
      <c r="C394" s="51"/>
      <c r="D394" s="51"/>
      <c r="E394" s="205"/>
      <c r="F394" s="205"/>
      <c r="G394" s="207"/>
      <c r="H394" s="206">
        <f>H386+H393+H391</f>
        <v>35907.00145627539</v>
      </c>
      <c r="I394" s="206"/>
      <c r="J394" s="51"/>
    </row>
    <row r="395" spans="1:10" ht="15">
      <c r="A395" s="205"/>
      <c r="B395" s="204" t="s">
        <v>362</v>
      </c>
      <c r="C395" s="203"/>
      <c r="D395" s="203"/>
      <c r="E395" s="203"/>
      <c r="F395" s="203"/>
      <c r="G395" s="202"/>
      <c r="H395" s="201">
        <f>H128+H202+H250+H288+H309+H366+H394</f>
        <v>3678217.6073583364</v>
      </c>
      <c r="I395" s="201"/>
      <c r="J395" s="51"/>
    </row>
    <row r="396" spans="1:7" ht="12.75">
      <c r="A396" s="185"/>
      <c r="B396" s="185"/>
      <c r="C396" s="185"/>
      <c r="D396" s="185"/>
      <c r="E396" s="185"/>
      <c r="F396" s="185"/>
      <c r="G396" s="185"/>
    </row>
    <row r="397" spans="1:13" s="188" customFormat="1" ht="12.75">
      <c r="A397" s="194"/>
      <c r="B397" s="189"/>
      <c r="C397" s="189"/>
      <c r="D397" s="189"/>
      <c r="F397" s="189"/>
      <c r="H397" s="324" t="s">
        <v>582</v>
      </c>
      <c r="I397" s="187">
        <f>I119+I195+I240+I285+I357+I393</f>
        <v>73616.76</v>
      </c>
      <c r="J397" s="198" t="s">
        <v>581</v>
      </c>
      <c r="L397" s="200"/>
      <c r="M397" s="199"/>
    </row>
    <row r="398" spans="1:13" s="188" customFormat="1" ht="12.75">
      <c r="A398" s="194"/>
      <c r="H398" s="198"/>
      <c r="I398" s="198"/>
      <c r="J398" s="187"/>
      <c r="L398" s="197"/>
      <c r="M398" s="196"/>
    </row>
    <row r="399" spans="1:9" s="188" customFormat="1" ht="12.75">
      <c r="A399" s="194"/>
      <c r="H399" s="190"/>
      <c r="I399" s="190"/>
    </row>
    <row r="400" spans="1:10" s="188" customFormat="1" ht="12.75" customHeight="1">
      <c r="A400" s="194"/>
      <c r="H400" s="187"/>
      <c r="I400" s="187"/>
      <c r="J400" s="187"/>
    </row>
    <row r="401" spans="1:10" s="188" customFormat="1" ht="12.75">
      <c r="A401" s="194"/>
      <c r="H401" s="195"/>
      <c r="I401" s="195"/>
      <c r="J401" s="187"/>
    </row>
    <row r="402" spans="1:10" s="188" customFormat="1" ht="12.75">
      <c r="A402" s="194"/>
      <c r="H402" s="190"/>
      <c r="I402" s="190"/>
      <c r="J402" s="187"/>
    </row>
    <row r="403" spans="1:9" s="188" customFormat="1" ht="12.75">
      <c r="A403" s="194"/>
      <c r="H403" s="189"/>
      <c r="I403" s="189"/>
    </row>
    <row r="404" spans="1:9" s="188" customFormat="1" ht="12.75">
      <c r="A404" s="194"/>
      <c r="G404" s="187"/>
      <c r="H404" s="190"/>
      <c r="I404" s="190"/>
    </row>
    <row r="405" spans="1:10" ht="12.75">
      <c r="A405" s="182"/>
      <c r="G405" s="188"/>
      <c r="H405" s="186"/>
      <c r="I405" s="186"/>
      <c r="J405" s="186"/>
    </row>
    <row r="406" ht="12.75">
      <c r="G406" s="188"/>
    </row>
    <row r="407" spans="2:10" ht="12.75">
      <c r="B407" s="188"/>
      <c r="C407" s="188"/>
      <c r="D407" s="188"/>
      <c r="E407" s="188"/>
      <c r="F407" s="188"/>
      <c r="G407" s="188"/>
      <c r="H407" s="193"/>
      <c r="I407" s="193"/>
      <c r="J407" s="186"/>
    </row>
    <row r="408" spans="2:10" ht="12.75">
      <c r="B408" s="188"/>
      <c r="C408" s="188"/>
      <c r="D408" s="188"/>
      <c r="E408" s="188"/>
      <c r="F408" s="188"/>
      <c r="G408" s="188"/>
      <c r="J408" s="186"/>
    </row>
    <row r="409" spans="2:6" ht="12.75">
      <c r="B409" s="192"/>
      <c r="C409" s="188"/>
      <c r="D409" s="188"/>
      <c r="E409" s="188"/>
      <c r="F409" s="188"/>
    </row>
    <row r="410" spans="8:9" ht="12.75">
      <c r="H410" s="186"/>
      <c r="I410" s="186"/>
    </row>
    <row r="416" spans="2:7" ht="12.75">
      <c r="B416" s="189"/>
      <c r="C416" s="189"/>
      <c r="D416" s="189"/>
      <c r="E416" s="191"/>
      <c r="F416" s="189"/>
      <c r="G416" s="190"/>
    </row>
    <row r="417" spans="2:7" ht="12.75">
      <c r="B417" s="189"/>
      <c r="C417" s="189"/>
      <c r="D417" s="189"/>
      <c r="E417" s="189"/>
      <c r="F417" s="189"/>
      <c r="G417" s="189"/>
    </row>
    <row r="418" spans="2:7" ht="12.75">
      <c r="B418" s="183"/>
      <c r="C418" s="189"/>
      <c r="D418" s="189"/>
      <c r="G418" s="189"/>
    </row>
    <row r="419" spans="2:7" ht="12.75">
      <c r="B419" s="183"/>
      <c r="C419" s="189"/>
      <c r="D419" s="189"/>
      <c r="G419" s="190"/>
    </row>
    <row r="420" spans="2:7" ht="12.75">
      <c r="B420" s="183"/>
      <c r="C420" s="189"/>
      <c r="D420" s="189"/>
      <c r="G420" s="188"/>
    </row>
    <row r="421" spans="2:7" ht="12.75">
      <c r="B421" s="183"/>
      <c r="G421" s="187"/>
    </row>
    <row r="422" ht="12.75">
      <c r="B422" s="183"/>
    </row>
    <row r="423" spans="2:7" ht="12.75">
      <c r="B423" s="183"/>
      <c r="G423" s="186"/>
    </row>
    <row r="424" ht="12.75">
      <c r="B424" s="183"/>
    </row>
    <row r="425" spans="1:2" ht="12.75">
      <c r="A425" s="184"/>
      <c r="B425" s="183"/>
    </row>
    <row r="426" ht="12.75">
      <c r="B426" s="183"/>
    </row>
    <row r="427" ht="12.75">
      <c r="B427" s="183"/>
    </row>
    <row r="454" ht="12.75">
      <c r="B454" s="182"/>
    </row>
  </sheetData>
  <sheetProtection/>
  <mergeCells count="21">
    <mergeCell ref="A367:H367"/>
    <mergeCell ref="A311:H311"/>
    <mergeCell ref="A317:H317"/>
    <mergeCell ref="A318:H318"/>
    <mergeCell ref="A330:H330"/>
    <mergeCell ref="A310:H310"/>
    <mergeCell ref="A133:H133"/>
    <mergeCell ref="A203:H203"/>
    <mergeCell ref="A252:H252"/>
    <mergeCell ref="A289:H289"/>
    <mergeCell ref="A290:H290"/>
    <mergeCell ref="A204:H204"/>
    <mergeCell ref="A251:H251"/>
    <mergeCell ref="A16:H16"/>
    <mergeCell ref="A17:H17"/>
    <mergeCell ref="A18:H18"/>
    <mergeCell ref="A19:H19"/>
    <mergeCell ref="A20:H20"/>
    <mergeCell ref="B87:J87"/>
    <mergeCell ref="A129:G129"/>
    <mergeCell ref="A132:H132"/>
  </mergeCells>
  <printOptions/>
  <pageMargins left="0.16" right="0.16" top="0.17" bottom="0.17" header="0.18" footer="0.17"/>
  <pageSetup fitToWidth="0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N478"/>
  <sheetViews>
    <sheetView tabSelected="1" zoomScalePageLayoutView="0" workbookViewId="0" topLeftCell="C1">
      <selection activeCell="G7" sqref="G7"/>
    </sheetView>
  </sheetViews>
  <sheetFormatPr defaultColWidth="9.00390625" defaultRowHeight="12.75"/>
  <cols>
    <col min="1" max="1" width="4.125" style="181" customWidth="1"/>
    <col min="2" max="2" width="68.00390625" style="181" customWidth="1"/>
    <col min="3" max="3" width="11.375" style="181" customWidth="1"/>
    <col min="4" max="4" width="10.125" style="181" customWidth="1"/>
    <col min="5" max="5" width="11.75390625" style="181" customWidth="1"/>
    <col min="6" max="6" width="10.375" style="181" customWidth="1"/>
    <col min="7" max="7" width="12.875" style="181" customWidth="1"/>
    <col min="8" max="8" width="12.75390625" style="181" customWidth="1"/>
    <col min="9" max="9" width="11.375" style="181" customWidth="1"/>
    <col min="10" max="10" width="12.00390625" style="181" customWidth="1"/>
    <col min="11" max="16384" width="9.125" style="181" customWidth="1"/>
  </cols>
  <sheetData>
    <row r="1" ht="12.75">
      <c r="I1" s="181" t="s">
        <v>672</v>
      </c>
    </row>
    <row r="3" spans="7:9" ht="14.25">
      <c r="G3" s="318" t="s">
        <v>277</v>
      </c>
      <c r="H3" s="318"/>
      <c r="I3" s="318"/>
    </row>
    <row r="4" spans="7:9" ht="14.25">
      <c r="G4" s="318" t="s">
        <v>670</v>
      </c>
      <c r="H4" s="318"/>
      <c r="I4" s="318"/>
    </row>
    <row r="5" spans="7:9" ht="14.25">
      <c r="G5" s="318" t="s">
        <v>671</v>
      </c>
      <c r="H5" s="318"/>
      <c r="I5" s="318"/>
    </row>
    <row r="6" spans="7:9" ht="14.25">
      <c r="G6" s="318" t="s">
        <v>673</v>
      </c>
      <c r="H6" s="318"/>
      <c r="I6" s="318"/>
    </row>
    <row r="7" spans="7:9" ht="14.25">
      <c r="G7" s="318"/>
      <c r="H7" s="318"/>
      <c r="I7" s="318"/>
    </row>
    <row r="8" ht="12.75" customHeight="1"/>
    <row r="9" ht="12.75" customHeight="1"/>
    <row r="10" ht="12.75" customHeight="1"/>
    <row r="11" spans="2:6" ht="15.75">
      <c r="B11" s="315"/>
      <c r="C11" s="316" t="s">
        <v>597</v>
      </c>
      <c r="D11" s="315"/>
      <c r="E11" s="315"/>
      <c r="F11" s="315"/>
    </row>
    <row r="12" spans="1:6" ht="15.75">
      <c r="A12" s="183"/>
      <c r="B12" s="317"/>
      <c r="C12" s="316" t="s">
        <v>1</v>
      </c>
      <c r="D12" s="317"/>
      <c r="E12" s="317"/>
      <c r="F12" s="317"/>
    </row>
    <row r="13" spans="1:7" ht="15.75">
      <c r="A13" s="183"/>
      <c r="B13" s="315"/>
      <c r="C13" s="316" t="s">
        <v>598</v>
      </c>
      <c r="D13" s="315"/>
      <c r="E13" s="315"/>
      <c r="F13" s="315"/>
      <c r="G13" s="314"/>
    </row>
    <row r="15" ht="12.75">
      <c r="D15" s="313"/>
    </row>
    <row r="16" spans="1:9" ht="38.25">
      <c r="A16" s="312" t="s">
        <v>27</v>
      </c>
      <c r="B16" s="231" t="s">
        <v>2</v>
      </c>
      <c r="C16" s="231" t="s">
        <v>3</v>
      </c>
      <c r="D16" s="312" t="s">
        <v>26</v>
      </c>
      <c r="E16" s="231" t="s">
        <v>410</v>
      </c>
      <c r="F16" s="231" t="s">
        <v>409</v>
      </c>
      <c r="G16" s="231" t="s">
        <v>487</v>
      </c>
      <c r="H16" s="231" t="s">
        <v>411</v>
      </c>
      <c r="I16" s="93" t="s">
        <v>7</v>
      </c>
    </row>
    <row r="17" spans="1:9" ht="12.75">
      <c r="A17" s="303">
        <v>1</v>
      </c>
      <c r="B17" s="303">
        <v>2</v>
      </c>
      <c r="C17" s="303">
        <v>3</v>
      </c>
      <c r="D17" s="303">
        <v>4</v>
      </c>
      <c r="E17" s="303">
        <v>5</v>
      </c>
      <c r="F17" s="303">
        <v>6</v>
      </c>
      <c r="G17" s="303">
        <v>7</v>
      </c>
      <c r="H17" s="311">
        <v>8</v>
      </c>
      <c r="I17" s="212">
        <v>9</v>
      </c>
    </row>
    <row r="18" spans="1:9" ht="12.75">
      <c r="A18" s="425" t="s">
        <v>8</v>
      </c>
      <c r="B18" s="425"/>
      <c r="C18" s="425"/>
      <c r="D18" s="425"/>
      <c r="E18" s="425"/>
      <c r="F18" s="425"/>
      <c r="G18" s="425"/>
      <c r="H18" s="426"/>
      <c r="I18" s="282"/>
    </row>
    <row r="19" spans="1:9" ht="12.75">
      <c r="A19" s="427" t="s">
        <v>9</v>
      </c>
      <c r="B19" s="392"/>
      <c r="C19" s="392"/>
      <c r="D19" s="392"/>
      <c r="E19" s="392"/>
      <c r="F19" s="392"/>
      <c r="G19" s="392"/>
      <c r="H19" s="392"/>
      <c r="I19" s="310"/>
    </row>
    <row r="20" spans="1:9" ht="12.75">
      <c r="A20" s="393" t="s">
        <v>10</v>
      </c>
      <c r="B20" s="422"/>
      <c r="C20" s="422"/>
      <c r="D20" s="422"/>
      <c r="E20" s="422"/>
      <c r="F20" s="422"/>
      <c r="G20" s="422"/>
      <c r="H20" s="422"/>
      <c r="I20" s="309"/>
    </row>
    <row r="21" spans="1:9" ht="12.75">
      <c r="A21" s="393" t="s">
        <v>11</v>
      </c>
      <c r="B21" s="422"/>
      <c r="C21" s="422"/>
      <c r="D21" s="422"/>
      <c r="E21" s="422"/>
      <c r="F21" s="422"/>
      <c r="G21" s="422"/>
      <c r="H21" s="422"/>
      <c r="I21" s="309"/>
    </row>
    <row r="22" spans="1:9" ht="12.75">
      <c r="A22" s="394" t="s">
        <v>12</v>
      </c>
      <c r="B22" s="395"/>
      <c r="C22" s="395"/>
      <c r="D22" s="395"/>
      <c r="E22" s="395"/>
      <c r="F22" s="395"/>
      <c r="G22" s="395"/>
      <c r="H22" s="395"/>
      <c r="I22" s="308"/>
    </row>
    <row r="23" spans="1:9" ht="12.75">
      <c r="A23" s="307" t="s">
        <v>13</v>
      </c>
      <c r="B23" s="283" t="s">
        <v>28</v>
      </c>
      <c r="C23" s="306"/>
      <c r="D23" s="306"/>
      <c r="E23" s="305"/>
      <c r="F23" s="305"/>
      <c r="G23" s="305"/>
      <c r="H23" s="304"/>
      <c r="I23" s="244"/>
    </row>
    <row r="24" spans="1:9" ht="12.75">
      <c r="A24" s="227"/>
      <c r="B24" s="47" t="s">
        <v>29</v>
      </c>
      <c r="C24" s="205"/>
      <c r="D24" s="205"/>
      <c r="E24" s="215"/>
      <c r="F24" s="215"/>
      <c r="G24" s="205"/>
      <c r="H24" s="223"/>
      <c r="I24" s="51"/>
    </row>
    <row r="25" spans="1:9" ht="12.75">
      <c r="A25" s="227"/>
      <c r="B25" s="51" t="s">
        <v>30</v>
      </c>
      <c r="C25" s="212" t="s">
        <v>43</v>
      </c>
      <c r="D25" s="212">
        <f>2000/10</f>
        <v>200</v>
      </c>
      <c r="E25" s="216">
        <v>16</v>
      </c>
      <c r="F25" s="216">
        <v>0.47</v>
      </c>
      <c r="G25" s="300">
        <f aca="true" t="shared" si="0" ref="G25:G87">D25*E25*F25</f>
        <v>1504</v>
      </c>
      <c r="H25" s="291">
        <f>779578/33270.718*G25</f>
        <v>35240.75771373494</v>
      </c>
      <c r="I25" s="51"/>
    </row>
    <row r="26" spans="1:9" ht="12.75">
      <c r="A26" s="227"/>
      <c r="B26" s="51" t="s">
        <v>31</v>
      </c>
      <c r="C26" s="212" t="s">
        <v>43</v>
      </c>
      <c r="D26" s="212">
        <f>400/10</f>
        <v>40</v>
      </c>
      <c r="E26" s="216">
        <v>16</v>
      </c>
      <c r="F26" s="216">
        <v>0.47</v>
      </c>
      <c r="G26" s="300">
        <f t="shared" si="0"/>
        <v>300.79999999999995</v>
      </c>
      <c r="H26" s="291">
        <f aca="true" t="shared" si="1" ref="H26:H87">779578/33270.718*G26</f>
        <v>7048.151542746988</v>
      </c>
      <c r="I26" s="51"/>
    </row>
    <row r="27" spans="1:9" ht="12.75">
      <c r="A27" s="227"/>
      <c r="B27" s="51" t="s">
        <v>32</v>
      </c>
      <c r="C27" s="212" t="s">
        <v>43</v>
      </c>
      <c r="D27" s="212">
        <f>574/10</f>
        <v>57.4</v>
      </c>
      <c r="E27" s="216">
        <v>16</v>
      </c>
      <c r="F27" s="216">
        <v>0.47</v>
      </c>
      <c r="G27" s="300">
        <f t="shared" si="0"/>
        <v>431.64799999999997</v>
      </c>
      <c r="H27" s="291">
        <f t="shared" si="1"/>
        <v>10114.097463841928</v>
      </c>
      <c r="I27" s="51"/>
    </row>
    <row r="28" spans="1:9" ht="12.75">
      <c r="A28" s="227"/>
      <c r="B28" s="51" t="s">
        <v>33</v>
      </c>
      <c r="C28" s="212" t="s">
        <v>43</v>
      </c>
      <c r="D28" s="212">
        <f>300/10</f>
        <v>30</v>
      </c>
      <c r="E28" s="216">
        <v>16</v>
      </c>
      <c r="F28" s="216">
        <v>0.47</v>
      </c>
      <c r="G28" s="300">
        <f t="shared" si="0"/>
        <v>225.6</v>
      </c>
      <c r="H28" s="291">
        <f t="shared" si="1"/>
        <v>5286.113657060241</v>
      </c>
      <c r="I28" s="51"/>
    </row>
    <row r="29" spans="1:9" ht="12.75">
      <c r="A29" s="227"/>
      <c r="B29" s="51" t="s">
        <v>34</v>
      </c>
      <c r="C29" s="212" t="s">
        <v>43</v>
      </c>
      <c r="D29" s="212">
        <f>1930/10</f>
        <v>193</v>
      </c>
      <c r="E29" s="216">
        <v>16</v>
      </c>
      <c r="F29" s="216">
        <v>0.47</v>
      </c>
      <c r="G29" s="300">
        <f t="shared" si="0"/>
        <v>1451.36</v>
      </c>
      <c r="H29" s="291">
        <f t="shared" si="1"/>
        <v>34007.33119375422</v>
      </c>
      <c r="I29" s="51"/>
    </row>
    <row r="30" spans="1:9" ht="12.75">
      <c r="A30" s="227"/>
      <c r="B30" s="51" t="s">
        <v>35</v>
      </c>
      <c r="C30" s="212" t="s">
        <v>43</v>
      </c>
      <c r="D30" s="212">
        <f>960/10</f>
        <v>96</v>
      </c>
      <c r="E30" s="216">
        <v>16</v>
      </c>
      <c r="F30" s="216">
        <v>0.47</v>
      </c>
      <c r="G30" s="300">
        <f t="shared" si="0"/>
        <v>721.92</v>
      </c>
      <c r="H30" s="291">
        <f t="shared" si="1"/>
        <v>16915.56370259277</v>
      </c>
      <c r="I30" s="51"/>
    </row>
    <row r="31" spans="1:9" ht="12.75">
      <c r="A31" s="215"/>
      <c r="B31" s="51" t="s">
        <v>36</v>
      </c>
      <c r="C31" s="212" t="s">
        <v>43</v>
      </c>
      <c r="D31" s="220">
        <f>1418/10</f>
        <v>141.8</v>
      </c>
      <c r="E31" s="216">
        <v>16</v>
      </c>
      <c r="F31" s="216">
        <v>0.47</v>
      </c>
      <c r="G31" s="300">
        <f t="shared" si="0"/>
        <v>1066.336</v>
      </c>
      <c r="H31" s="291">
        <f t="shared" si="1"/>
        <v>24985.697219038077</v>
      </c>
      <c r="I31" s="51"/>
    </row>
    <row r="32" spans="1:9" ht="12.75">
      <c r="A32" s="215"/>
      <c r="B32" s="51" t="s">
        <v>37</v>
      </c>
      <c r="C32" s="212" t="s">
        <v>43</v>
      </c>
      <c r="D32" s="212">
        <f>330/10</f>
        <v>33</v>
      </c>
      <c r="E32" s="216">
        <v>16</v>
      </c>
      <c r="F32" s="216">
        <v>0.47</v>
      </c>
      <c r="G32" s="300">
        <f t="shared" si="0"/>
        <v>248.16</v>
      </c>
      <c r="H32" s="291">
        <f t="shared" si="1"/>
        <v>5814.725022766265</v>
      </c>
      <c r="I32" s="51"/>
    </row>
    <row r="33" spans="1:9" ht="12.75">
      <c r="A33" s="215"/>
      <c r="B33" s="51" t="s">
        <v>38</v>
      </c>
      <c r="C33" s="212" t="s">
        <v>43</v>
      </c>
      <c r="D33" s="212">
        <f>960/10</f>
        <v>96</v>
      </c>
      <c r="E33" s="216">
        <v>16</v>
      </c>
      <c r="F33" s="216">
        <v>0.47</v>
      </c>
      <c r="G33" s="300">
        <f t="shared" si="0"/>
        <v>721.92</v>
      </c>
      <c r="H33" s="291">
        <f t="shared" si="1"/>
        <v>16915.56370259277</v>
      </c>
      <c r="I33" s="51"/>
    </row>
    <row r="34" spans="1:9" ht="12.75">
      <c r="A34" s="227"/>
      <c r="B34" s="51" t="s">
        <v>39</v>
      </c>
      <c r="C34" s="212" t="s">
        <v>43</v>
      </c>
      <c r="D34" s="212">
        <f>2200/10</f>
        <v>220</v>
      </c>
      <c r="E34" s="216">
        <v>8</v>
      </c>
      <c r="F34" s="216">
        <v>0.47</v>
      </c>
      <c r="G34" s="300">
        <f t="shared" si="0"/>
        <v>827.1999999999999</v>
      </c>
      <c r="H34" s="291">
        <f t="shared" si="1"/>
        <v>19382.41674255422</v>
      </c>
      <c r="I34" s="51"/>
    </row>
    <row r="35" spans="1:9" ht="12.75">
      <c r="A35" s="227"/>
      <c r="B35" s="51" t="s">
        <v>40</v>
      </c>
      <c r="C35" s="212" t="s">
        <v>43</v>
      </c>
      <c r="D35" s="220">
        <f>1743/10</f>
        <v>174.3</v>
      </c>
      <c r="E35" s="216">
        <v>8</v>
      </c>
      <c r="F35" s="216">
        <v>0.47</v>
      </c>
      <c r="G35" s="300">
        <f t="shared" si="0"/>
        <v>655.368</v>
      </c>
      <c r="H35" s="291">
        <f t="shared" si="1"/>
        <v>15356.160173760003</v>
      </c>
      <c r="I35" s="51"/>
    </row>
    <row r="36" spans="1:9" ht="12.75">
      <c r="A36" s="227"/>
      <c r="B36" s="51" t="s">
        <v>41</v>
      </c>
      <c r="C36" s="212" t="s">
        <v>43</v>
      </c>
      <c r="D36" s="212">
        <f>2500/10</f>
        <v>250</v>
      </c>
      <c r="E36" s="216">
        <v>4</v>
      </c>
      <c r="F36" s="216">
        <v>0.47</v>
      </c>
      <c r="G36" s="300">
        <f t="shared" si="0"/>
        <v>470</v>
      </c>
      <c r="H36" s="291">
        <f t="shared" si="1"/>
        <v>11012.73678554217</v>
      </c>
      <c r="I36" s="51"/>
    </row>
    <row r="37" spans="1:9" ht="12.75">
      <c r="A37" s="227"/>
      <c r="B37" s="51" t="s">
        <v>42</v>
      </c>
      <c r="C37" s="212" t="s">
        <v>43</v>
      </c>
      <c r="D37" s="212">
        <f>850/10</f>
        <v>85</v>
      </c>
      <c r="E37" s="216">
        <v>4</v>
      </c>
      <c r="F37" s="216">
        <v>0.47</v>
      </c>
      <c r="G37" s="300">
        <f t="shared" si="0"/>
        <v>159.79999999999998</v>
      </c>
      <c r="H37" s="291">
        <f t="shared" si="1"/>
        <v>3744.3305070843376</v>
      </c>
      <c r="I37" s="51"/>
    </row>
    <row r="38" spans="1:9" ht="12.75">
      <c r="A38" s="227"/>
      <c r="B38" s="51" t="s">
        <v>509</v>
      </c>
      <c r="C38" s="212" t="s">
        <v>43</v>
      </c>
      <c r="D38" s="212">
        <f>420/10</f>
        <v>42</v>
      </c>
      <c r="E38" s="216">
        <v>4</v>
      </c>
      <c r="F38" s="216">
        <v>0.47</v>
      </c>
      <c r="G38" s="300">
        <f t="shared" si="0"/>
        <v>78.96</v>
      </c>
      <c r="H38" s="291">
        <f t="shared" si="1"/>
        <v>1850.1397799710844</v>
      </c>
      <c r="I38" s="51"/>
    </row>
    <row r="39" spans="1:9" ht="12.75">
      <c r="A39" s="227"/>
      <c r="B39" s="51" t="s">
        <v>510</v>
      </c>
      <c r="C39" s="212" t="s">
        <v>43</v>
      </c>
      <c r="D39" s="212">
        <f>550/10</f>
        <v>55</v>
      </c>
      <c r="E39" s="216">
        <v>4</v>
      </c>
      <c r="F39" s="216">
        <v>0.47</v>
      </c>
      <c r="G39" s="300">
        <f t="shared" si="0"/>
        <v>103.39999999999999</v>
      </c>
      <c r="H39" s="291">
        <f t="shared" si="1"/>
        <v>2422.8020928192773</v>
      </c>
      <c r="I39" s="51"/>
    </row>
    <row r="40" spans="1:9" ht="12.75">
      <c r="A40" s="227"/>
      <c r="B40" s="51" t="s">
        <v>511</v>
      </c>
      <c r="C40" s="212" t="s">
        <v>43</v>
      </c>
      <c r="D40" s="212">
        <f>2000/10</f>
        <v>200</v>
      </c>
      <c r="E40" s="216">
        <v>4</v>
      </c>
      <c r="F40" s="216">
        <v>0.47</v>
      </c>
      <c r="G40" s="300">
        <f t="shared" si="0"/>
        <v>376</v>
      </c>
      <c r="H40" s="291">
        <f t="shared" si="1"/>
        <v>8810.189428433736</v>
      </c>
      <c r="I40" s="51"/>
    </row>
    <row r="41" spans="1:9" ht="12.75">
      <c r="A41" s="303">
        <v>2</v>
      </c>
      <c r="B41" s="51" t="s">
        <v>512</v>
      </c>
      <c r="C41" s="212"/>
      <c r="D41" s="212"/>
      <c r="E41" s="216"/>
      <c r="F41" s="216"/>
      <c r="G41" s="300">
        <f t="shared" si="0"/>
        <v>0</v>
      </c>
      <c r="H41" s="291">
        <f t="shared" si="1"/>
        <v>0</v>
      </c>
      <c r="I41" s="51"/>
    </row>
    <row r="42" spans="1:9" ht="12.75">
      <c r="A42" s="227"/>
      <c r="B42" s="51" t="s">
        <v>517</v>
      </c>
      <c r="C42" s="212" t="s">
        <v>53</v>
      </c>
      <c r="D42" s="212">
        <v>160</v>
      </c>
      <c r="E42" s="216">
        <v>6</v>
      </c>
      <c r="F42" s="216">
        <v>0.091</v>
      </c>
      <c r="G42" s="300">
        <f t="shared" si="0"/>
        <v>87.36</v>
      </c>
      <c r="H42" s="291">
        <f t="shared" si="1"/>
        <v>2046.9631608190723</v>
      </c>
      <c r="I42" s="51"/>
    </row>
    <row r="43" spans="1:9" ht="12.75">
      <c r="A43" s="227">
        <v>3</v>
      </c>
      <c r="B43" s="51" t="s">
        <v>44</v>
      </c>
      <c r="C43" s="212" t="s">
        <v>52</v>
      </c>
      <c r="D43" s="212">
        <v>177</v>
      </c>
      <c r="E43" s="215">
        <v>4</v>
      </c>
      <c r="F43" s="215">
        <v>0.91</v>
      </c>
      <c r="G43" s="300">
        <f t="shared" si="0"/>
        <v>644.28</v>
      </c>
      <c r="H43" s="291">
        <f t="shared" si="1"/>
        <v>15096.353311040657</v>
      </c>
      <c r="I43" s="51"/>
    </row>
    <row r="44" spans="1:9" ht="12.75">
      <c r="A44" s="227">
        <v>4</v>
      </c>
      <c r="B44" s="51" t="s">
        <v>46</v>
      </c>
      <c r="C44" s="212" t="s">
        <v>52</v>
      </c>
      <c r="D44" s="212">
        <v>310</v>
      </c>
      <c r="E44" s="215">
        <v>4</v>
      </c>
      <c r="F44" s="215">
        <v>0.3</v>
      </c>
      <c r="G44" s="300">
        <f t="shared" si="0"/>
        <v>372</v>
      </c>
      <c r="H44" s="291">
        <f t="shared" si="1"/>
        <v>8716.464008982313</v>
      </c>
      <c r="I44" s="51"/>
    </row>
    <row r="45" spans="1:9" ht="12.75">
      <c r="A45" s="227">
        <v>5</v>
      </c>
      <c r="B45" s="51" t="s">
        <v>47</v>
      </c>
      <c r="C45" s="212" t="s">
        <v>52</v>
      </c>
      <c r="D45" s="212">
        <v>350</v>
      </c>
      <c r="E45" s="215">
        <v>4</v>
      </c>
      <c r="F45" s="215">
        <v>0.91</v>
      </c>
      <c r="G45" s="300">
        <f t="shared" si="0"/>
        <v>1274</v>
      </c>
      <c r="H45" s="291">
        <f t="shared" si="1"/>
        <v>29851.546095278136</v>
      </c>
      <c r="I45" s="51"/>
    </row>
    <row r="46" spans="1:9" ht="12.75">
      <c r="A46" s="227">
        <v>6</v>
      </c>
      <c r="B46" s="51" t="s">
        <v>48</v>
      </c>
      <c r="C46" s="212" t="s">
        <v>53</v>
      </c>
      <c r="D46" s="222">
        <v>27.7</v>
      </c>
      <c r="E46" s="215">
        <v>3</v>
      </c>
      <c r="F46" s="215">
        <v>6.25</v>
      </c>
      <c r="G46" s="300">
        <f t="shared" si="0"/>
        <v>519.375</v>
      </c>
      <c r="H46" s="291">
        <f t="shared" si="1"/>
        <v>12169.659931895669</v>
      </c>
      <c r="I46" s="51"/>
    </row>
    <row r="47" spans="1:9" ht="12.75">
      <c r="A47" s="227">
        <v>7</v>
      </c>
      <c r="B47" s="51" t="s">
        <v>49</v>
      </c>
      <c r="C47" s="212" t="s">
        <v>53</v>
      </c>
      <c r="D47" s="211">
        <v>97.04</v>
      </c>
      <c r="E47" s="215">
        <v>3</v>
      </c>
      <c r="F47" s="215">
        <v>0.31</v>
      </c>
      <c r="G47" s="300">
        <f t="shared" si="0"/>
        <v>90.2472</v>
      </c>
      <c r="H47" s="291">
        <f t="shared" si="1"/>
        <v>2114.6141685791094</v>
      </c>
      <c r="I47" s="51"/>
    </row>
    <row r="48" spans="1:9" ht="12.75">
      <c r="A48" s="227">
        <v>8</v>
      </c>
      <c r="B48" s="51" t="s">
        <v>223</v>
      </c>
      <c r="C48" s="212" t="s">
        <v>53</v>
      </c>
      <c r="D48" s="211">
        <v>61.18</v>
      </c>
      <c r="E48" s="215">
        <v>32</v>
      </c>
      <c r="F48" s="215">
        <v>0.162</v>
      </c>
      <c r="G48" s="300">
        <f t="shared" si="0"/>
        <v>317.15712</v>
      </c>
      <c r="H48" s="291">
        <f t="shared" si="1"/>
        <v>7431.421026001303</v>
      </c>
      <c r="I48" s="51"/>
    </row>
    <row r="49" spans="1:9" ht="12.75">
      <c r="A49" s="227">
        <v>9</v>
      </c>
      <c r="B49" s="51" t="s">
        <v>513</v>
      </c>
      <c r="C49" s="212" t="s">
        <v>251</v>
      </c>
      <c r="D49" s="220">
        <v>10</v>
      </c>
      <c r="E49" s="215">
        <v>2</v>
      </c>
      <c r="F49" s="215">
        <v>1.1</v>
      </c>
      <c r="G49" s="300">
        <f t="shared" si="0"/>
        <v>22</v>
      </c>
      <c r="H49" s="291">
        <f t="shared" si="1"/>
        <v>515.489806982825</v>
      </c>
      <c r="I49" s="51"/>
    </row>
    <row r="50" spans="1:9" ht="12.75">
      <c r="A50" s="227">
        <v>10</v>
      </c>
      <c r="B50" s="51" t="s">
        <v>514</v>
      </c>
      <c r="C50" s="212" t="s">
        <v>254</v>
      </c>
      <c r="D50" s="220">
        <v>100</v>
      </c>
      <c r="E50" s="215">
        <v>2</v>
      </c>
      <c r="F50" s="215">
        <v>0.37</v>
      </c>
      <c r="G50" s="300">
        <f t="shared" si="0"/>
        <v>74</v>
      </c>
      <c r="H50" s="291">
        <f t="shared" si="1"/>
        <v>1733.9202598513205</v>
      </c>
      <c r="I50" s="51"/>
    </row>
    <row r="51" spans="1:9" ht="12.75">
      <c r="A51" s="227">
        <v>11</v>
      </c>
      <c r="B51" s="51" t="s">
        <v>631</v>
      </c>
      <c r="C51" s="212" t="s">
        <v>295</v>
      </c>
      <c r="D51" s="220">
        <v>70</v>
      </c>
      <c r="E51" s="215">
        <v>1</v>
      </c>
      <c r="F51" s="215">
        <v>1.3</v>
      </c>
      <c r="G51" s="300">
        <f t="shared" si="0"/>
        <v>91</v>
      </c>
      <c r="H51" s="291">
        <f t="shared" si="1"/>
        <v>2132.253292519867</v>
      </c>
      <c r="I51" s="51"/>
    </row>
    <row r="52" spans="1:9" ht="12.75">
      <c r="A52" s="227"/>
      <c r="B52" s="51" t="s">
        <v>515</v>
      </c>
      <c r="C52" s="212"/>
      <c r="D52" s="220"/>
      <c r="E52" s="215"/>
      <c r="F52" s="215"/>
      <c r="G52" s="300">
        <f t="shared" si="0"/>
        <v>0</v>
      </c>
      <c r="H52" s="291">
        <f t="shared" si="1"/>
        <v>0</v>
      </c>
      <c r="I52" s="51"/>
    </row>
    <row r="53" spans="1:9" ht="12.75">
      <c r="A53" s="227"/>
      <c r="B53" s="51" t="s">
        <v>516</v>
      </c>
      <c r="C53" s="212"/>
      <c r="D53" s="220"/>
      <c r="E53" s="215"/>
      <c r="F53" s="215"/>
      <c r="G53" s="300">
        <f t="shared" si="0"/>
        <v>0</v>
      </c>
      <c r="H53" s="291">
        <f t="shared" si="1"/>
        <v>0</v>
      </c>
      <c r="I53" s="51"/>
    </row>
    <row r="54" spans="1:9" ht="12.75">
      <c r="A54" s="227">
        <v>12</v>
      </c>
      <c r="B54" s="51" t="s">
        <v>482</v>
      </c>
      <c r="C54" s="212" t="s">
        <v>61</v>
      </c>
      <c r="D54" s="302">
        <f>16*4</f>
        <v>64</v>
      </c>
      <c r="E54" s="215">
        <v>10</v>
      </c>
      <c r="F54" s="215">
        <v>1</v>
      </c>
      <c r="G54" s="300">
        <f t="shared" si="0"/>
        <v>640</v>
      </c>
      <c r="H54" s="291">
        <f t="shared" si="1"/>
        <v>14996.067112227636</v>
      </c>
      <c r="I54" s="51"/>
    </row>
    <row r="55" spans="1:9" ht="12.75">
      <c r="A55" s="227"/>
      <c r="B55" s="51" t="s">
        <v>479</v>
      </c>
      <c r="C55" s="212" t="s">
        <v>61</v>
      </c>
      <c r="D55" s="220">
        <f>54+104+3</f>
        <v>161</v>
      </c>
      <c r="E55" s="215">
        <v>1</v>
      </c>
      <c r="F55" s="215">
        <v>1</v>
      </c>
      <c r="G55" s="300">
        <f t="shared" si="0"/>
        <v>161</v>
      </c>
      <c r="H55" s="291">
        <f t="shared" si="1"/>
        <v>3772.4481329197647</v>
      </c>
      <c r="I55" s="51"/>
    </row>
    <row r="56" spans="1:9" ht="12.75">
      <c r="A56" s="227"/>
      <c r="B56" s="51" t="s">
        <v>480</v>
      </c>
      <c r="C56" s="212" t="s">
        <v>61</v>
      </c>
      <c r="D56" s="220">
        <f>64+80+3</f>
        <v>147</v>
      </c>
      <c r="E56" s="215">
        <v>1</v>
      </c>
      <c r="F56" s="215">
        <v>1</v>
      </c>
      <c r="G56" s="300">
        <f t="shared" si="0"/>
        <v>147</v>
      </c>
      <c r="H56" s="291">
        <f t="shared" si="1"/>
        <v>3444.4091648397853</v>
      </c>
      <c r="I56" s="51"/>
    </row>
    <row r="57" spans="1:9" ht="12.75">
      <c r="A57" s="227"/>
      <c r="B57" s="51" t="s">
        <v>481</v>
      </c>
      <c r="C57" s="212" t="s">
        <v>61</v>
      </c>
      <c r="D57" s="220">
        <f>48+4</f>
        <v>52</v>
      </c>
      <c r="E57" s="215">
        <v>1</v>
      </c>
      <c r="F57" s="215">
        <v>1</v>
      </c>
      <c r="G57" s="300">
        <f t="shared" si="0"/>
        <v>52</v>
      </c>
      <c r="H57" s="291">
        <f t="shared" si="1"/>
        <v>1218.4304528684954</v>
      </c>
      <c r="I57" s="51"/>
    </row>
    <row r="58" spans="1:9" ht="12.75">
      <c r="A58" s="227"/>
      <c r="B58" s="51" t="s">
        <v>503</v>
      </c>
      <c r="C58" s="212" t="s">
        <v>61</v>
      </c>
      <c r="D58" s="220">
        <f>96+4</f>
        <v>100</v>
      </c>
      <c r="E58" s="215">
        <v>1</v>
      </c>
      <c r="F58" s="215">
        <v>1</v>
      </c>
      <c r="G58" s="300">
        <f t="shared" si="0"/>
        <v>100</v>
      </c>
      <c r="H58" s="291">
        <f t="shared" si="1"/>
        <v>2343.1354862855683</v>
      </c>
      <c r="I58" s="51"/>
    </row>
    <row r="59" spans="1:9" ht="12.75">
      <c r="A59" s="227"/>
      <c r="B59" s="51" t="s">
        <v>484</v>
      </c>
      <c r="C59" s="212" t="s">
        <v>61</v>
      </c>
      <c r="D59" s="220">
        <f>96+144</f>
        <v>240</v>
      </c>
      <c r="E59" s="215">
        <v>1</v>
      </c>
      <c r="F59" s="215">
        <v>1</v>
      </c>
      <c r="G59" s="300">
        <f t="shared" si="0"/>
        <v>240</v>
      </c>
      <c r="H59" s="291">
        <f t="shared" si="1"/>
        <v>5623.525167085363</v>
      </c>
      <c r="I59" s="51"/>
    </row>
    <row r="60" spans="1:9" ht="25.5">
      <c r="A60" s="227">
        <v>13</v>
      </c>
      <c r="B60" s="226" t="s">
        <v>50</v>
      </c>
      <c r="C60" s="212"/>
      <c r="D60" s="212"/>
      <c r="E60" s="215"/>
      <c r="F60" s="215"/>
      <c r="G60" s="300">
        <f t="shared" si="0"/>
        <v>0</v>
      </c>
      <c r="H60" s="291">
        <f t="shared" si="1"/>
        <v>0</v>
      </c>
      <c r="I60" s="51"/>
    </row>
    <row r="61" spans="1:9" ht="12.75">
      <c r="A61" s="51"/>
      <c r="B61" s="51" t="s">
        <v>30</v>
      </c>
      <c r="C61" s="212" t="s">
        <v>53</v>
      </c>
      <c r="D61" s="222">
        <f>12000/100</f>
        <v>120</v>
      </c>
      <c r="E61" s="216">
        <v>24</v>
      </c>
      <c r="F61" s="216">
        <v>0.23</v>
      </c>
      <c r="G61" s="300">
        <f t="shared" si="0"/>
        <v>662.4</v>
      </c>
      <c r="H61" s="291">
        <f t="shared" si="1"/>
        <v>15520.929461155603</v>
      </c>
      <c r="I61" s="51"/>
    </row>
    <row r="62" spans="1:9" ht="12.75">
      <c r="A62" s="227"/>
      <c r="B62" s="51" t="s">
        <v>31</v>
      </c>
      <c r="C62" s="212" t="s">
        <v>53</v>
      </c>
      <c r="D62" s="222">
        <f>6500/100</f>
        <v>65</v>
      </c>
      <c r="E62" s="216">
        <v>24</v>
      </c>
      <c r="F62" s="216">
        <v>0.23</v>
      </c>
      <c r="G62" s="300">
        <f t="shared" si="0"/>
        <v>358.8</v>
      </c>
      <c r="H62" s="291">
        <f t="shared" si="1"/>
        <v>8407.17012479262</v>
      </c>
      <c r="I62" s="51"/>
    </row>
    <row r="63" spans="1:9" ht="12.75">
      <c r="A63" s="227"/>
      <c r="B63" s="51" t="s">
        <v>32</v>
      </c>
      <c r="C63" s="212" t="s">
        <v>53</v>
      </c>
      <c r="D63" s="212">
        <f>5166/100</f>
        <v>51.66</v>
      </c>
      <c r="E63" s="216">
        <v>24</v>
      </c>
      <c r="F63" s="216">
        <v>0.23</v>
      </c>
      <c r="G63" s="300">
        <f t="shared" si="0"/>
        <v>285.1632</v>
      </c>
      <c r="H63" s="291">
        <f t="shared" si="1"/>
        <v>6681.760133027487</v>
      </c>
      <c r="I63" s="51"/>
    </row>
    <row r="64" spans="1:9" ht="12.75">
      <c r="A64" s="227"/>
      <c r="B64" s="51" t="s">
        <v>33</v>
      </c>
      <c r="C64" s="212" t="s">
        <v>53</v>
      </c>
      <c r="D64" s="212">
        <f>1050/100</f>
        <v>10.5</v>
      </c>
      <c r="E64" s="216">
        <v>24</v>
      </c>
      <c r="F64" s="216">
        <v>0.23</v>
      </c>
      <c r="G64" s="300">
        <f t="shared" si="0"/>
        <v>57.96</v>
      </c>
      <c r="H64" s="291">
        <f t="shared" si="1"/>
        <v>1358.0813278511152</v>
      </c>
      <c r="I64" s="51"/>
    </row>
    <row r="65" spans="1:9" ht="12.75">
      <c r="A65" s="227"/>
      <c r="B65" s="51" t="s">
        <v>34</v>
      </c>
      <c r="C65" s="212" t="s">
        <v>53</v>
      </c>
      <c r="D65" s="212">
        <v>70.26</v>
      </c>
      <c r="E65" s="216">
        <v>24</v>
      </c>
      <c r="F65" s="216">
        <v>0.23</v>
      </c>
      <c r="G65" s="300">
        <f t="shared" si="0"/>
        <v>387.83520000000004</v>
      </c>
      <c r="H65" s="291">
        <f t="shared" si="1"/>
        <v>9087.504199506606</v>
      </c>
      <c r="I65" s="51"/>
    </row>
    <row r="66" spans="1:9" ht="12.75">
      <c r="A66" s="227"/>
      <c r="B66" s="51" t="s">
        <v>35</v>
      </c>
      <c r="C66" s="212" t="s">
        <v>53</v>
      </c>
      <c r="D66" s="212">
        <v>40.26</v>
      </c>
      <c r="E66" s="216">
        <v>24</v>
      </c>
      <c r="F66" s="216">
        <v>0.23</v>
      </c>
      <c r="G66" s="300">
        <f t="shared" si="0"/>
        <v>222.23520000000002</v>
      </c>
      <c r="H66" s="291">
        <f t="shared" si="1"/>
        <v>5207.271834217705</v>
      </c>
      <c r="I66" s="51"/>
    </row>
    <row r="67" spans="1:9" ht="12.75">
      <c r="A67" s="227"/>
      <c r="B67" s="51" t="s">
        <v>36</v>
      </c>
      <c r="C67" s="212" t="s">
        <v>53</v>
      </c>
      <c r="D67" s="222">
        <v>66</v>
      </c>
      <c r="E67" s="216">
        <v>24</v>
      </c>
      <c r="F67" s="216">
        <v>0.23</v>
      </c>
      <c r="G67" s="300">
        <f t="shared" si="0"/>
        <v>364.32</v>
      </c>
      <c r="H67" s="291">
        <f t="shared" si="1"/>
        <v>8536.511203635582</v>
      </c>
      <c r="I67" s="51"/>
    </row>
    <row r="68" spans="1:9" ht="12.75">
      <c r="A68" s="227"/>
      <c r="B68" s="51" t="s">
        <v>37</v>
      </c>
      <c r="C68" s="212" t="s">
        <v>53</v>
      </c>
      <c r="D68" s="222">
        <v>19.8</v>
      </c>
      <c r="E68" s="216">
        <v>24</v>
      </c>
      <c r="F68" s="216">
        <v>0.23</v>
      </c>
      <c r="G68" s="300">
        <f t="shared" si="0"/>
        <v>109.29600000000002</v>
      </c>
      <c r="H68" s="291">
        <f t="shared" si="1"/>
        <v>2560.953361090675</v>
      </c>
      <c r="I68" s="51"/>
    </row>
    <row r="69" spans="1:9" ht="12.75">
      <c r="A69" s="227"/>
      <c r="B69" s="51" t="s">
        <v>38</v>
      </c>
      <c r="C69" s="212" t="s">
        <v>53</v>
      </c>
      <c r="D69" s="212">
        <v>28.8</v>
      </c>
      <c r="E69" s="216">
        <v>24</v>
      </c>
      <c r="F69" s="216">
        <v>0.23</v>
      </c>
      <c r="G69" s="300">
        <f t="shared" si="0"/>
        <v>158.97600000000003</v>
      </c>
      <c r="H69" s="291">
        <f t="shared" si="1"/>
        <v>3725.0230706773455</v>
      </c>
      <c r="I69" s="51"/>
    </row>
    <row r="70" spans="1:9" ht="12.75">
      <c r="A70" s="227"/>
      <c r="B70" s="51" t="s">
        <v>39</v>
      </c>
      <c r="C70" s="212" t="s">
        <v>53</v>
      </c>
      <c r="D70" s="222">
        <v>20</v>
      </c>
      <c r="E70" s="216">
        <v>24</v>
      </c>
      <c r="F70" s="216">
        <v>0.23</v>
      </c>
      <c r="G70" s="300">
        <f t="shared" si="0"/>
        <v>110.4</v>
      </c>
      <c r="H70" s="291">
        <f t="shared" si="1"/>
        <v>2586.821576859267</v>
      </c>
      <c r="I70" s="51"/>
    </row>
    <row r="71" spans="1:9" ht="12.75">
      <c r="A71" s="227"/>
      <c r="B71" s="51" t="s">
        <v>54</v>
      </c>
      <c r="C71" s="212" t="s">
        <v>53</v>
      </c>
      <c r="D71" s="212">
        <v>36.68</v>
      </c>
      <c r="E71" s="216">
        <v>24</v>
      </c>
      <c r="F71" s="216">
        <v>0.23</v>
      </c>
      <c r="G71" s="300">
        <f t="shared" si="0"/>
        <v>202.4736</v>
      </c>
      <c r="H71" s="291">
        <f t="shared" si="1"/>
        <v>4744.230771959896</v>
      </c>
      <c r="I71" s="51"/>
    </row>
    <row r="72" spans="1:9" ht="12.75">
      <c r="A72" s="227"/>
      <c r="B72" s="51" t="s">
        <v>55</v>
      </c>
      <c r="C72" s="212" t="s">
        <v>53</v>
      </c>
      <c r="D72" s="212">
        <v>11.57</v>
      </c>
      <c r="E72" s="216">
        <v>24</v>
      </c>
      <c r="F72" s="216">
        <v>0.23</v>
      </c>
      <c r="G72" s="300">
        <f t="shared" si="0"/>
        <v>63.866400000000006</v>
      </c>
      <c r="H72" s="291">
        <f t="shared" si="1"/>
        <v>1496.4762822130863</v>
      </c>
      <c r="I72" s="51"/>
    </row>
    <row r="73" spans="1:9" ht="12.75">
      <c r="A73" s="227"/>
      <c r="B73" s="51" t="s">
        <v>56</v>
      </c>
      <c r="C73" s="212" t="s">
        <v>53</v>
      </c>
      <c r="D73" s="212">
        <v>11.42</v>
      </c>
      <c r="E73" s="216">
        <v>24</v>
      </c>
      <c r="F73" s="216">
        <v>0.23</v>
      </c>
      <c r="G73" s="300">
        <f t="shared" si="0"/>
        <v>63.038399999999996</v>
      </c>
      <c r="H73" s="291">
        <f t="shared" si="1"/>
        <v>1477.0751203866414</v>
      </c>
      <c r="I73" s="51"/>
    </row>
    <row r="74" spans="1:9" ht="12.75">
      <c r="A74" s="227"/>
      <c r="B74" s="51" t="s">
        <v>41</v>
      </c>
      <c r="C74" s="212" t="s">
        <v>53</v>
      </c>
      <c r="D74" s="212">
        <v>17.5</v>
      </c>
      <c r="E74" s="216">
        <v>24</v>
      </c>
      <c r="F74" s="216">
        <v>0.23</v>
      </c>
      <c r="G74" s="300">
        <f t="shared" si="0"/>
        <v>96.60000000000001</v>
      </c>
      <c r="H74" s="291">
        <f t="shared" si="1"/>
        <v>2263.468879751859</v>
      </c>
      <c r="I74" s="51"/>
    </row>
    <row r="75" spans="1:9" ht="12.75">
      <c r="A75" s="227"/>
      <c r="B75" s="51" t="s">
        <v>42</v>
      </c>
      <c r="C75" s="212" t="s">
        <v>53</v>
      </c>
      <c r="D75" s="212">
        <v>11.48</v>
      </c>
      <c r="E75" s="216">
        <v>24</v>
      </c>
      <c r="F75" s="216">
        <v>0.23</v>
      </c>
      <c r="G75" s="300">
        <f t="shared" si="0"/>
        <v>63.3696</v>
      </c>
      <c r="H75" s="291">
        <f t="shared" si="1"/>
        <v>1484.8355851172194</v>
      </c>
      <c r="I75" s="51"/>
    </row>
    <row r="76" spans="1:9" ht="25.5">
      <c r="A76" s="227">
        <v>14</v>
      </c>
      <c r="B76" s="226" t="s">
        <v>519</v>
      </c>
      <c r="C76" s="212"/>
      <c r="D76" s="212"/>
      <c r="E76" s="216"/>
      <c r="F76" s="216"/>
      <c r="G76" s="300">
        <f t="shared" si="0"/>
        <v>0</v>
      </c>
      <c r="H76" s="291">
        <f t="shared" si="1"/>
        <v>0</v>
      </c>
      <c r="I76" s="51"/>
    </row>
    <row r="77" spans="1:9" ht="12.75">
      <c r="A77" s="227"/>
      <c r="B77" s="51" t="s">
        <v>347</v>
      </c>
      <c r="C77" s="212" t="s">
        <v>53</v>
      </c>
      <c r="D77" s="212">
        <v>194.25</v>
      </c>
      <c r="E77" s="243">
        <v>24</v>
      </c>
      <c r="F77" s="243">
        <v>0.23</v>
      </c>
      <c r="G77" s="300">
        <f t="shared" si="0"/>
        <v>1072.26</v>
      </c>
      <c r="H77" s="291">
        <f t="shared" si="1"/>
        <v>25124.504565245632</v>
      </c>
      <c r="I77" s="51"/>
    </row>
    <row r="78" spans="1:9" ht="12.75">
      <c r="A78" s="227"/>
      <c r="B78" s="51" t="s">
        <v>348</v>
      </c>
      <c r="C78" s="212" t="s">
        <v>53</v>
      </c>
      <c r="D78" s="212">
        <v>272.02</v>
      </c>
      <c r="E78" s="243">
        <v>24</v>
      </c>
      <c r="F78" s="243">
        <v>0.23</v>
      </c>
      <c r="G78" s="300">
        <f t="shared" si="0"/>
        <v>1501.5503999999999</v>
      </c>
      <c r="H78" s="291">
        <f t="shared" si="1"/>
        <v>35183.36026686289</v>
      </c>
      <c r="I78" s="51"/>
    </row>
    <row r="79" spans="1:9" ht="12.75">
      <c r="A79" s="227"/>
      <c r="B79" s="51" t="s">
        <v>349</v>
      </c>
      <c r="C79" s="212" t="s">
        <v>53</v>
      </c>
      <c r="D79" s="212">
        <v>112.38</v>
      </c>
      <c r="E79" s="243">
        <v>24</v>
      </c>
      <c r="F79" s="243">
        <v>0.23</v>
      </c>
      <c r="G79" s="300">
        <f t="shared" si="0"/>
        <v>620.3376</v>
      </c>
      <c r="H79" s="291">
        <f t="shared" si="1"/>
        <v>14535.350440372222</v>
      </c>
      <c r="I79" s="51"/>
    </row>
    <row r="80" spans="1:9" ht="12.75">
      <c r="A80" s="227"/>
      <c r="B80" s="51" t="s">
        <v>350</v>
      </c>
      <c r="C80" s="212" t="s">
        <v>53</v>
      </c>
      <c r="D80" s="212">
        <v>182.48</v>
      </c>
      <c r="E80" s="243">
        <v>24</v>
      </c>
      <c r="F80" s="243">
        <v>0.23</v>
      </c>
      <c r="G80" s="300">
        <f t="shared" si="0"/>
        <v>1007.2896</v>
      </c>
      <c r="H80" s="291">
        <f t="shared" si="1"/>
        <v>23602.160067263954</v>
      </c>
      <c r="I80" s="51"/>
    </row>
    <row r="81" spans="1:9" ht="16.5" customHeight="1">
      <c r="A81" s="227">
        <v>15</v>
      </c>
      <c r="B81" s="249" t="s">
        <v>351</v>
      </c>
      <c r="C81" s="224" t="s">
        <v>53</v>
      </c>
      <c r="D81" s="224">
        <v>61.18</v>
      </c>
      <c r="E81" s="215">
        <v>20</v>
      </c>
      <c r="F81" s="215">
        <v>1.43</v>
      </c>
      <c r="G81" s="300">
        <f t="shared" si="0"/>
        <v>1749.7479999999998</v>
      </c>
      <c r="H81" s="291">
        <f t="shared" si="1"/>
        <v>40998.966308571995</v>
      </c>
      <c r="I81" s="51"/>
    </row>
    <row r="82" spans="1:9" ht="12.75">
      <c r="A82" s="227">
        <v>16</v>
      </c>
      <c r="B82" s="51" t="s">
        <v>59</v>
      </c>
      <c r="C82" s="212" t="s">
        <v>225</v>
      </c>
      <c r="D82" s="212">
        <v>100</v>
      </c>
      <c r="E82" s="215">
        <v>1</v>
      </c>
      <c r="F82" s="215">
        <v>1.35</v>
      </c>
      <c r="G82" s="300">
        <f t="shared" si="0"/>
        <v>135</v>
      </c>
      <c r="H82" s="291">
        <f t="shared" si="1"/>
        <v>3163.232906485517</v>
      </c>
      <c r="I82" s="51"/>
    </row>
    <row r="83" spans="1:9" ht="18.75" customHeight="1">
      <c r="A83" s="227">
        <v>17</v>
      </c>
      <c r="B83" s="268" t="s">
        <v>550</v>
      </c>
      <c r="C83" s="224" t="s">
        <v>53</v>
      </c>
      <c r="D83" s="224">
        <v>8.5</v>
      </c>
      <c r="E83" s="247">
        <v>20</v>
      </c>
      <c r="F83" s="247">
        <v>1.43</v>
      </c>
      <c r="G83" s="300">
        <f t="shared" si="0"/>
        <v>243.1</v>
      </c>
      <c r="H83" s="291">
        <f t="shared" si="1"/>
        <v>5696.162367160216</v>
      </c>
      <c r="I83" s="51"/>
    </row>
    <row r="84" spans="1:9" ht="12.75">
      <c r="A84" s="227">
        <v>18</v>
      </c>
      <c r="B84" s="268" t="s">
        <v>518</v>
      </c>
      <c r="C84" s="212"/>
      <c r="D84" s="212"/>
      <c r="E84" s="215"/>
      <c r="F84" s="215"/>
      <c r="G84" s="300">
        <f t="shared" si="0"/>
        <v>0</v>
      </c>
      <c r="H84" s="291">
        <f t="shared" si="1"/>
        <v>0</v>
      </c>
      <c r="I84" s="51"/>
    </row>
    <row r="85" spans="1:9" ht="12.75">
      <c r="A85" s="227"/>
      <c r="B85" s="51" t="s">
        <v>41</v>
      </c>
      <c r="C85" s="212" t="s">
        <v>53</v>
      </c>
      <c r="D85" s="212">
        <v>17.5</v>
      </c>
      <c r="E85" s="215">
        <v>10</v>
      </c>
      <c r="F85" s="215">
        <v>1.43</v>
      </c>
      <c r="G85" s="300">
        <f t="shared" si="0"/>
        <v>250.25</v>
      </c>
      <c r="H85" s="291">
        <f t="shared" si="1"/>
        <v>5863.6965544296345</v>
      </c>
      <c r="I85" s="51"/>
    </row>
    <row r="86" spans="1:9" ht="12.75">
      <c r="A86" s="227"/>
      <c r="B86" s="51" t="s">
        <v>42</v>
      </c>
      <c r="C86" s="212" t="s">
        <v>53</v>
      </c>
      <c r="D86" s="212">
        <v>5.95</v>
      </c>
      <c r="E86" s="215">
        <v>10</v>
      </c>
      <c r="F86" s="215">
        <v>1.43</v>
      </c>
      <c r="G86" s="300">
        <f t="shared" si="0"/>
        <v>85.085</v>
      </c>
      <c r="H86" s="291">
        <f t="shared" si="1"/>
        <v>1993.6568285060755</v>
      </c>
      <c r="I86" s="51"/>
    </row>
    <row r="87" spans="1:9" ht="12.75">
      <c r="A87" s="227">
        <v>19</v>
      </c>
      <c r="B87" s="301" t="s">
        <v>412</v>
      </c>
      <c r="C87" s="212" t="s">
        <v>61</v>
      </c>
      <c r="D87" s="212">
        <f>24*6</f>
        <v>144</v>
      </c>
      <c r="E87" s="212">
        <v>1</v>
      </c>
      <c r="F87" s="212">
        <v>36</v>
      </c>
      <c r="G87" s="300">
        <f t="shared" si="0"/>
        <v>5184</v>
      </c>
      <c r="H87" s="291">
        <f t="shared" si="1"/>
        <v>121468.14360904385</v>
      </c>
      <c r="I87" s="51"/>
    </row>
    <row r="88" spans="1:9" ht="12.75">
      <c r="A88" s="227"/>
      <c r="B88" s="47" t="s">
        <v>413</v>
      </c>
      <c r="C88" s="51"/>
      <c r="D88" s="212"/>
      <c r="E88" s="212"/>
      <c r="F88" s="212"/>
      <c r="G88" s="207">
        <f>SUM(G25:G87)</f>
        <v>29229.245519999993</v>
      </c>
      <c r="H88" s="299">
        <f>SUM(H25:H87)</f>
        <v>684880.8241526547</v>
      </c>
      <c r="I88" s="51"/>
    </row>
    <row r="89" spans="1:9" ht="12.75">
      <c r="A89" s="227"/>
      <c r="B89" s="396" t="s">
        <v>15</v>
      </c>
      <c r="C89" s="397"/>
      <c r="D89" s="397"/>
      <c r="E89" s="397"/>
      <c r="F89" s="397"/>
      <c r="G89" s="397"/>
      <c r="H89" s="397"/>
      <c r="I89" s="398"/>
    </row>
    <row r="90" spans="1:9" ht="12.75">
      <c r="A90" s="227">
        <v>20</v>
      </c>
      <c r="B90" s="47" t="s">
        <v>539</v>
      </c>
      <c r="C90" s="215"/>
      <c r="D90" s="205"/>
      <c r="E90" s="215"/>
      <c r="F90" s="215"/>
      <c r="G90" s="260"/>
      <c r="H90" s="291">
        <f>1023079.45/40901.718*G90</f>
        <v>0</v>
      </c>
      <c r="I90" s="51"/>
    </row>
    <row r="91" spans="1:9" ht="12.75">
      <c r="A91" s="227"/>
      <c r="B91" s="244" t="s">
        <v>537</v>
      </c>
      <c r="C91" s="215" t="s">
        <v>53</v>
      </c>
      <c r="D91" s="215">
        <v>5.03</v>
      </c>
      <c r="E91" s="215">
        <v>16</v>
      </c>
      <c r="F91" s="215">
        <v>1.43</v>
      </c>
      <c r="G91" s="300">
        <f>D91*E91*F91</f>
        <v>115.0864</v>
      </c>
      <c r="H91" s="291">
        <f aca="true" t="shared" si="2" ref="H91:H96">779578/33270.718*G91</f>
        <v>2696.630278288554</v>
      </c>
      <c r="I91" s="51"/>
    </row>
    <row r="92" spans="1:9" ht="12.75">
      <c r="A92" s="227"/>
      <c r="B92" s="244" t="s">
        <v>538</v>
      </c>
      <c r="C92" s="215" t="s">
        <v>53</v>
      </c>
      <c r="D92" s="215">
        <v>1.56</v>
      </c>
      <c r="E92" s="215">
        <v>16</v>
      </c>
      <c r="F92" s="215">
        <v>1.43</v>
      </c>
      <c r="G92" s="300">
        <f>D92*E92*F92</f>
        <v>35.6928</v>
      </c>
      <c r="H92" s="291">
        <f t="shared" si="2"/>
        <v>836.3306628489352</v>
      </c>
      <c r="I92" s="51"/>
    </row>
    <row r="93" spans="1:9" ht="12.75">
      <c r="A93" s="227">
        <v>21</v>
      </c>
      <c r="B93" s="283" t="s">
        <v>536</v>
      </c>
      <c r="C93" s="215"/>
      <c r="D93" s="205"/>
      <c r="E93" s="215"/>
      <c r="F93" s="215"/>
      <c r="G93" s="261"/>
      <c r="H93" s="291">
        <f t="shared" si="2"/>
        <v>0</v>
      </c>
      <c r="I93" s="51"/>
    </row>
    <row r="94" spans="1:9" ht="12.75">
      <c r="A94" s="227"/>
      <c r="B94" s="47" t="s">
        <v>535</v>
      </c>
      <c r="C94" s="215"/>
      <c r="D94" s="205"/>
      <c r="E94" s="215"/>
      <c r="F94" s="215"/>
      <c r="G94" s="261"/>
      <c r="H94" s="291">
        <f t="shared" si="2"/>
        <v>0</v>
      </c>
      <c r="I94" s="51"/>
    </row>
    <row r="95" spans="1:9" ht="12.75">
      <c r="A95" s="227"/>
      <c r="B95" s="244" t="s">
        <v>537</v>
      </c>
      <c r="C95" s="215" t="s">
        <v>65</v>
      </c>
      <c r="D95" s="221">
        <v>30</v>
      </c>
      <c r="E95" s="215">
        <v>16</v>
      </c>
      <c r="F95" s="215">
        <v>0.47</v>
      </c>
      <c r="G95" s="261">
        <f>D95*E95*F95</f>
        <v>225.6</v>
      </c>
      <c r="H95" s="291">
        <f t="shared" si="2"/>
        <v>5286.113657060241</v>
      </c>
      <c r="I95" s="51"/>
    </row>
    <row r="96" spans="1:10" ht="12.75">
      <c r="A96" s="227"/>
      <c r="B96" s="244" t="s">
        <v>538</v>
      </c>
      <c r="C96" s="215" t="s">
        <v>65</v>
      </c>
      <c r="D96" s="221">
        <v>14.64</v>
      </c>
      <c r="E96" s="215">
        <v>16</v>
      </c>
      <c r="F96" s="215">
        <v>0.47</v>
      </c>
      <c r="G96" s="261">
        <f>D96*E96*F96</f>
        <v>110.0928</v>
      </c>
      <c r="H96" s="291">
        <f t="shared" si="2"/>
        <v>2579.6234646453977</v>
      </c>
      <c r="I96" s="51"/>
      <c r="J96" s="186"/>
    </row>
    <row r="97" spans="1:9" ht="12.75">
      <c r="A97" s="227"/>
      <c r="B97" s="283" t="s">
        <v>413</v>
      </c>
      <c r="C97" s="205"/>
      <c r="D97" s="234"/>
      <c r="E97" s="205"/>
      <c r="F97" s="205"/>
      <c r="G97" s="207">
        <f>SUM(G91:G96)</f>
        <v>486.472</v>
      </c>
      <c r="H97" s="299">
        <f>SUM(H91:H96)</f>
        <v>11398.698062843128</v>
      </c>
      <c r="I97" s="47"/>
    </row>
    <row r="98" spans="1:248" s="292" customFormat="1" ht="12.75">
      <c r="A98" s="298">
        <v>22</v>
      </c>
      <c r="B98" s="297" t="s">
        <v>506</v>
      </c>
      <c r="C98" s="274"/>
      <c r="D98" s="256"/>
      <c r="E98" s="296"/>
      <c r="F98" s="296"/>
      <c r="G98" s="289" t="s">
        <v>476</v>
      </c>
      <c r="H98" s="295"/>
      <c r="I98" s="256"/>
      <c r="J98" s="181"/>
      <c r="M98" s="293"/>
      <c r="N98" s="293"/>
      <c r="O98" s="293"/>
      <c r="P98" s="293"/>
      <c r="Q98" s="192"/>
      <c r="R98" s="294"/>
      <c r="U98" s="293"/>
      <c r="V98" s="293"/>
      <c r="W98" s="293"/>
      <c r="X98" s="293"/>
      <c r="Y98" s="192"/>
      <c r="Z98" s="294"/>
      <c r="AC98" s="293"/>
      <c r="AD98" s="293"/>
      <c r="AE98" s="293"/>
      <c r="AF98" s="293"/>
      <c r="AG98" s="192"/>
      <c r="AH98" s="294"/>
      <c r="AK98" s="293"/>
      <c r="AL98" s="293"/>
      <c r="AM98" s="293"/>
      <c r="AN98" s="293"/>
      <c r="AO98" s="192"/>
      <c r="AP98" s="294"/>
      <c r="AS98" s="293"/>
      <c r="AT98" s="293"/>
      <c r="AU98" s="293"/>
      <c r="AV98" s="293"/>
      <c r="AW98" s="192"/>
      <c r="AX98" s="294"/>
      <c r="BA98" s="293"/>
      <c r="BB98" s="293"/>
      <c r="BC98" s="293"/>
      <c r="BD98" s="293"/>
      <c r="BE98" s="192"/>
      <c r="BF98" s="294"/>
      <c r="BI98" s="293"/>
      <c r="BJ98" s="293"/>
      <c r="BK98" s="293"/>
      <c r="BL98" s="293"/>
      <c r="BM98" s="192"/>
      <c r="BN98" s="294"/>
      <c r="BQ98" s="293"/>
      <c r="BR98" s="293"/>
      <c r="BS98" s="293"/>
      <c r="BT98" s="293"/>
      <c r="BU98" s="192"/>
      <c r="BV98" s="294"/>
      <c r="BY98" s="293"/>
      <c r="BZ98" s="293"/>
      <c r="CA98" s="293"/>
      <c r="CB98" s="293"/>
      <c r="CC98" s="192"/>
      <c r="CD98" s="294"/>
      <c r="CG98" s="293"/>
      <c r="CH98" s="293"/>
      <c r="CI98" s="293"/>
      <c r="CJ98" s="293"/>
      <c r="CK98" s="192"/>
      <c r="CL98" s="294"/>
      <c r="CO98" s="293"/>
      <c r="CP98" s="293"/>
      <c r="CQ98" s="293"/>
      <c r="CR98" s="293"/>
      <c r="CS98" s="192"/>
      <c r="CT98" s="294"/>
      <c r="CW98" s="293"/>
      <c r="CX98" s="293"/>
      <c r="CY98" s="293"/>
      <c r="CZ98" s="293"/>
      <c r="DA98" s="192"/>
      <c r="DB98" s="294"/>
      <c r="DE98" s="293"/>
      <c r="DF98" s="293"/>
      <c r="DG98" s="293"/>
      <c r="DH98" s="293"/>
      <c r="DI98" s="192"/>
      <c r="DJ98" s="294"/>
      <c r="DM98" s="293"/>
      <c r="DN98" s="293"/>
      <c r="DO98" s="293"/>
      <c r="DP98" s="293"/>
      <c r="DQ98" s="192"/>
      <c r="DR98" s="294"/>
      <c r="DU98" s="293"/>
      <c r="DV98" s="293"/>
      <c r="DW98" s="293"/>
      <c r="DX98" s="293"/>
      <c r="DY98" s="192"/>
      <c r="DZ98" s="294"/>
      <c r="EC98" s="293"/>
      <c r="ED98" s="293"/>
      <c r="EE98" s="293"/>
      <c r="EF98" s="293"/>
      <c r="EG98" s="192"/>
      <c r="EH98" s="294"/>
      <c r="EK98" s="293"/>
      <c r="EL98" s="293"/>
      <c r="EM98" s="293"/>
      <c r="EN98" s="293"/>
      <c r="EO98" s="192"/>
      <c r="EP98" s="294"/>
      <c r="ES98" s="293"/>
      <c r="ET98" s="293"/>
      <c r="EU98" s="293"/>
      <c r="EV98" s="293"/>
      <c r="EW98" s="192"/>
      <c r="EX98" s="294"/>
      <c r="FA98" s="293"/>
      <c r="FB98" s="293"/>
      <c r="FC98" s="293"/>
      <c r="FD98" s="293"/>
      <c r="FE98" s="192"/>
      <c r="FF98" s="294"/>
      <c r="FI98" s="293"/>
      <c r="FJ98" s="293"/>
      <c r="FK98" s="293"/>
      <c r="FL98" s="293"/>
      <c r="FM98" s="192"/>
      <c r="FN98" s="294"/>
      <c r="FQ98" s="293"/>
      <c r="FR98" s="293"/>
      <c r="FS98" s="293"/>
      <c r="FT98" s="293"/>
      <c r="FU98" s="192"/>
      <c r="FV98" s="294"/>
      <c r="FY98" s="293"/>
      <c r="FZ98" s="293"/>
      <c r="GA98" s="293"/>
      <c r="GB98" s="293"/>
      <c r="GC98" s="192"/>
      <c r="GD98" s="294"/>
      <c r="GG98" s="293"/>
      <c r="GH98" s="293"/>
      <c r="GI98" s="293"/>
      <c r="GJ98" s="293"/>
      <c r="GK98" s="192"/>
      <c r="GL98" s="294"/>
      <c r="GO98" s="293"/>
      <c r="GP98" s="293"/>
      <c r="GQ98" s="293"/>
      <c r="GR98" s="293"/>
      <c r="GS98" s="192"/>
      <c r="GT98" s="294"/>
      <c r="GW98" s="293"/>
      <c r="GX98" s="293"/>
      <c r="GY98" s="293"/>
      <c r="GZ98" s="293"/>
      <c r="HA98" s="192"/>
      <c r="HB98" s="294"/>
      <c r="HE98" s="293"/>
      <c r="HF98" s="293"/>
      <c r="HG98" s="293"/>
      <c r="HH98" s="293"/>
      <c r="HI98" s="192"/>
      <c r="HJ98" s="294"/>
      <c r="HM98" s="293"/>
      <c r="HN98" s="293"/>
      <c r="HO98" s="293"/>
      <c r="HP98" s="293"/>
      <c r="HQ98" s="192"/>
      <c r="HR98" s="294"/>
      <c r="HU98" s="293"/>
      <c r="HV98" s="293"/>
      <c r="HW98" s="293"/>
      <c r="HX98" s="293"/>
      <c r="HY98" s="192"/>
      <c r="HZ98" s="294"/>
      <c r="IC98" s="293"/>
      <c r="ID98" s="293"/>
      <c r="IE98" s="293"/>
      <c r="IF98" s="293"/>
      <c r="IG98" s="192"/>
      <c r="IH98" s="294"/>
      <c r="IK98" s="293"/>
      <c r="IL98" s="293"/>
      <c r="IM98" s="293"/>
      <c r="IN98" s="293"/>
    </row>
    <row r="99" spans="1:248" s="188" customFormat="1" ht="12.75">
      <c r="A99" s="227"/>
      <c r="B99" s="266" t="s">
        <v>465</v>
      </c>
      <c r="C99" s="290" t="s">
        <v>476</v>
      </c>
      <c r="D99" s="210">
        <f>211+50</f>
        <v>261</v>
      </c>
      <c r="E99" s="247">
        <v>1</v>
      </c>
      <c r="F99" s="247">
        <v>1</v>
      </c>
      <c r="G99" s="210">
        <f>211+50</f>
        <v>261</v>
      </c>
      <c r="H99" s="291">
        <f aca="true" t="shared" si="3" ref="H99:H113">779578/33270.718*G99</f>
        <v>6115.583619205333</v>
      </c>
      <c r="I99" s="212"/>
      <c r="J99" s="181"/>
      <c r="K99" s="181"/>
      <c r="L99" s="279"/>
      <c r="M99" s="189"/>
      <c r="N99" s="189"/>
      <c r="O99" s="189"/>
      <c r="P99" s="189"/>
      <c r="Q99" s="194"/>
      <c r="R99" s="281"/>
      <c r="S99" s="279"/>
      <c r="T99" s="279"/>
      <c r="U99" s="189"/>
      <c r="V99" s="189"/>
      <c r="W99" s="189"/>
      <c r="X99" s="189"/>
      <c r="Y99" s="194"/>
      <c r="Z99" s="281"/>
      <c r="AA99" s="279"/>
      <c r="AB99" s="279"/>
      <c r="AC99" s="189"/>
      <c r="AD99" s="189"/>
      <c r="AE99" s="189"/>
      <c r="AF99" s="189"/>
      <c r="AG99" s="194"/>
      <c r="AH99" s="281"/>
      <c r="AI99" s="279"/>
      <c r="AJ99" s="279"/>
      <c r="AK99" s="189"/>
      <c r="AL99" s="189"/>
      <c r="AM99" s="189"/>
      <c r="AN99" s="189"/>
      <c r="AO99" s="194"/>
      <c r="AP99" s="281"/>
      <c r="AQ99" s="279"/>
      <c r="AR99" s="279"/>
      <c r="AS99" s="189"/>
      <c r="AT99" s="189"/>
      <c r="AU99" s="189"/>
      <c r="AV99" s="189"/>
      <c r="AW99" s="194"/>
      <c r="AX99" s="281"/>
      <c r="AY99" s="279"/>
      <c r="AZ99" s="279"/>
      <c r="BA99" s="189"/>
      <c r="BB99" s="189"/>
      <c r="BC99" s="189"/>
      <c r="BD99" s="189"/>
      <c r="BE99" s="194"/>
      <c r="BF99" s="281"/>
      <c r="BG99" s="279"/>
      <c r="BH99" s="279"/>
      <c r="BI99" s="189"/>
      <c r="BJ99" s="189"/>
      <c r="BK99" s="189"/>
      <c r="BL99" s="189"/>
      <c r="BM99" s="194"/>
      <c r="BN99" s="281"/>
      <c r="BO99" s="279"/>
      <c r="BP99" s="279"/>
      <c r="BQ99" s="189"/>
      <c r="BR99" s="189"/>
      <c r="BS99" s="189"/>
      <c r="BT99" s="189"/>
      <c r="BU99" s="194"/>
      <c r="BV99" s="281"/>
      <c r="BW99" s="279"/>
      <c r="BX99" s="279"/>
      <c r="BY99" s="189"/>
      <c r="BZ99" s="189"/>
      <c r="CA99" s="189"/>
      <c r="CB99" s="189"/>
      <c r="CC99" s="194"/>
      <c r="CD99" s="281"/>
      <c r="CE99" s="279"/>
      <c r="CF99" s="279"/>
      <c r="CG99" s="189"/>
      <c r="CH99" s="189"/>
      <c r="CI99" s="189"/>
      <c r="CJ99" s="189"/>
      <c r="CK99" s="194"/>
      <c r="CL99" s="281"/>
      <c r="CM99" s="279"/>
      <c r="CN99" s="279"/>
      <c r="CO99" s="189"/>
      <c r="CP99" s="189"/>
      <c r="CQ99" s="189"/>
      <c r="CR99" s="189"/>
      <c r="CS99" s="194"/>
      <c r="CT99" s="281"/>
      <c r="CU99" s="279"/>
      <c r="CV99" s="279"/>
      <c r="CW99" s="189"/>
      <c r="CX99" s="189"/>
      <c r="CY99" s="189"/>
      <c r="CZ99" s="189"/>
      <c r="DA99" s="194"/>
      <c r="DB99" s="281"/>
      <c r="DC99" s="279"/>
      <c r="DD99" s="279"/>
      <c r="DE99" s="189"/>
      <c r="DF99" s="189"/>
      <c r="DG99" s="189"/>
      <c r="DH99" s="189"/>
      <c r="DI99" s="194"/>
      <c r="DJ99" s="281"/>
      <c r="DK99" s="279"/>
      <c r="DL99" s="279"/>
      <c r="DM99" s="189"/>
      <c r="DN99" s="189"/>
      <c r="DO99" s="189"/>
      <c r="DP99" s="189"/>
      <c r="DQ99" s="194"/>
      <c r="DR99" s="281"/>
      <c r="DS99" s="279"/>
      <c r="DT99" s="279"/>
      <c r="DU99" s="189"/>
      <c r="DV99" s="189"/>
      <c r="DW99" s="189"/>
      <c r="DX99" s="189"/>
      <c r="DY99" s="194"/>
      <c r="DZ99" s="281"/>
      <c r="EA99" s="279"/>
      <c r="EB99" s="279"/>
      <c r="EC99" s="189"/>
      <c r="ED99" s="189"/>
      <c r="EE99" s="189"/>
      <c r="EF99" s="189"/>
      <c r="EG99" s="194"/>
      <c r="EH99" s="281"/>
      <c r="EI99" s="279"/>
      <c r="EJ99" s="279"/>
      <c r="EK99" s="189"/>
      <c r="EL99" s="189"/>
      <c r="EM99" s="189"/>
      <c r="EN99" s="189"/>
      <c r="EO99" s="194"/>
      <c r="EP99" s="281"/>
      <c r="EQ99" s="279"/>
      <c r="ER99" s="279"/>
      <c r="ES99" s="189"/>
      <c r="ET99" s="189"/>
      <c r="EU99" s="189"/>
      <c r="EV99" s="189"/>
      <c r="EW99" s="194"/>
      <c r="EX99" s="281"/>
      <c r="EY99" s="279"/>
      <c r="EZ99" s="279"/>
      <c r="FA99" s="189"/>
      <c r="FB99" s="189"/>
      <c r="FC99" s="189"/>
      <c r="FD99" s="189"/>
      <c r="FE99" s="194"/>
      <c r="FF99" s="281"/>
      <c r="FG99" s="279"/>
      <c r="FH99" s="279"/>
      <c r="FI99" s="189"/>
      <c r="FJ99" s="189"/>
      <c r="FK99" s="189"/>
      <c r="FL99" s="189"/>
      <c r="FM99" s="194"/>
      <c r="FN99" s="281"/>
      <c r="FO99" s="279"/>
      <c r="FP99" s="279"/>
      <c r="FQ99" s="189"/>
      <c r="FR99" s="189"/>
      <c r="FS99" s="189"/>
      <c r="FT99" s="189"/>
      <c r="FU99" s="194"/>
      <c r="FV99" s="281"/>
      <c r="FW99" s="279"/>
      <c r="FX99" s="279"/>
      <c r="FY99" s="189"/>
      <c r="FZ99" s="189"/>
      <c r="GA99" s="189"/>
      <c r="GB99" s="189"/>
      <c r="GC99" s="194"/>
      <c r="GD99" s="281"/>
      <c r="GE99" s="279"/>
      <c r="GF99" s="279"/>
      <c r="GG99" s="189"/>
      <c r="GH99" s="189"/>
      <c r="GI99" s="189"/>
      <c r="GJ99" s="189"/>
      <c r="GK99" s="194"/>
      <c r="GL99" s="281"/>
      <c r="GM99" s="279"/>
      <c r="GN99" s="279"/>
      <c r="GO99" s="189"/>
      <c r="GP99" s="189"/>
      <c r="GQ99" s="189"/>
      <c r="GR99" s="189"/>
      <c r="GS99" s="194"/>
      <c r="GT99" s="281"/>
      <c r="GU99" s="279"/>
      <c r="GV99" s="279"/>
      <c r="GW99" s="189"/>
      <c r="GX99" s="189"/>
      <c r="GY99" s="189"/>
      <c r="GZ99" s="189"/>
      <c r="HA99" s="194"/>
      <c r="HB99" s="281"/>
      <c r="HC99" s="279"/>
      <c r="HD99" s="279"/>
      <c r="HE99" s="189"/>
      <c r="HF99" s="189"/>
      <c r="HG99" s="189"/>
      <c r="HH99" s="189"/>
      <c r="HI99" s="194"/>
      <c r="HJ99" s="281"/>
      <c r="HK99" s="279"/>
      <c r="HL99" s="279"/>
      <c r="HM99" s="189"/>
      <c r="HN99" s="189"/>
      <c r="HO99" s="189"/>
      <c r="HP99" s="189"/>
      <c r="HQ99" s="194"/>
      <c r="HR99" s="281"/>
      <c r="HS99" s="279"/>
      <c r="HT99" s="279"/>
      <c r="HU99" s="189"/>
      <c r="HV99" s="189"/>
      <c r="HW99" s="189"/>
      <c r="HX99" s="189"/>
      <c r="HY99" s="194"/>
      <c r="HZ99" s="281"/>
      <c r="IA99" s="279"/>
      <c r="IB99" s="279"/>
      <c r="IC99" s="189"/>
      <c r="ID99" s="189"/>
      <c r="IE99" s="189"/>
      <c r="IF99" s="189"/>
      <c r="IG99" s="194"/>
      <c r="IH99" s="281"/>
      <c r="II99" s="279"/>
      <c r="IJ99" s="279"/>
      <c r="IK99" s="189"/>
      <c r="IL99" s="189"/>
      <c r="IM99" s="189"/>
      <c r="IN99" s="189"/>
    </row>
    <row r="100" spans="1:248" s="188" customFormat="1" ht="12.75">
      <c r="A100" s="227"/>
      <c r="B100" s="266" t="s">
        <v>466</v>
      </c>
      <c r="C100" s="290" t="s">
        <v>476</v>
      </c>
      <c r="D100" s="210">
        <v>370</v>
      </c>
      <c r="E100" s="247">
        <v>1</v>
      </c>
      <c r="F100" s="247">
        <v>1</v>
      </c>
      <c r="G100" s="210">
        <v>370</v>
      </c>
      <c r="H100" s="291">
        <f t="shared" si="3"/>
        <v>8669.601299256601</v>
      </c>
      <c r="I100" s="212"/>
      <c r="J100" s="181"/>
      <c r="K100" s="181"/>
      <c r="L100" s="279"/>
      <c r="M100" s="189"/>
      <c r="N100" s="189"/>
      <c r="O100" s="189"/>
      <c r="P100" s="189"/>
      <c r="Q100" s="194"/>
      <c r="R100" s="281"/>
      <c r="S100" s="279"/>
      <c r="T100" s="279"/>
      <c r="U100" s="189"/>
      <c r="V100" s="189"/>
      <c r="W100" s="189"/>
      <c r="X100" s="189"/>
      <c r="Y100" s="194"/>
      <c r="Z100" s="281"/>
      <c r="AA100" s="279"/>
      <c r="AB100" s="279"/>
      <c r="AC100" s="189"/>
      <c r="AD100" s="189"/>
      <c r="AE100" s="189"/>
      <c r="AF100" s="189"/>
      <c r="AG100" s="194"/>
      <c r="AH100" s="281"/>
      <c r="AI100" s="279"/>
      <c r="AJ100" s="279"/>
      <c r="AK100" s="189"/>
      <c r="AL100" s="189"/>
      <c r="AM100" s="189"/>
      <c r="AN100" s="189"/>
      <c r="AO100" s="194"/>
      <c r="AP100" s="281"/>
      <c r="AQ100" s="279"/>
      <c r="AR100" s="279"/>
      <c r="AS100" s="189"/>
      <c r="AT100" s="189"/>
      <c r="AU100" s="189"/>
      <c r="AV100" s="189"/>
      <c r="AW100" s="194"/>
      <c r="AX100" s="281"/>
      <c r="AY100" s="279"/>
      <c r="AZ100" s="279"/>
      <c r="BA100" s="189"/>
      <c r="BB100" s="189"/>
      <c r="BC100" s="189"/>
      <c r="BD100" s="189"/>
      <c r="BE100" s="194"/>
      <c r="BF100" s="281"/>
      <c r="BG100" s="279"/>
      <c r="BH100" s="279"/>
      <c r="BI100" s="189"/>
      <c r="BJ100" s="189"/>
      <c r="BK100" s="189"/>
      <c r="BL100" s="189"/>
      <c r="BM100" s="194"/>
      <c r="BN100" s="281"/>
      <c r="BO100" s="279"/>
      <c r="BP100" s="279"/>
      <c r="BQ100" s="189"/>
      <c r="BR100" s="189"/>
      <c r="BS100" s="189"/>
      <c r="BT100" s="189"/>
      <c r="BU100" s="194"/>
      <c r="BV100" s="281"/>
      <c r="BW100" s="279"/>
      <c r="BX100" s="279"/>
      <c r="BY100" s="189"/>
      <c r="BZ100" s="189"/>
      <c r="CA100" s="189"/>
      <c r="CB100" s="189"/>
      <c r="CC100" s="194"/>
      <c r="CD100" s="281"/>
      <c r="CE100" s="279"/>
      <c r="CF100" s="279"/>
      <c r="CG100" s="189"/>
      <c r="CH100" s="189"/>
      <c r="CI100" s="189"/>
      <c r="CJ100" s="189"/>
      <c r="CK100" s="194"/>
      <c r="CL100" s="281"/>
      <c r="CM100" s="279"/>
      <c r="CN100" s="279"/>
      <c r="CO100" s="189"/>
      <c r="CP100" s="189"/>
      <c r="CQ100" s="189"/>
      <c r="CR100" s="189"/>
      <c r="CS100" s="194"/>
      <c r="CT100" s="281"/>
      <c r="CU100" s="279"/>
      <c r="CV100" s="279"/>
      <c r="CW100" s="189"/>
      <c r="CX100" s="189"/>
      <c r="CY100" s="189"/>
      <c r="CZ100" s="189"/>
      <c r="DA100" s="194"/>
      <c r="DB100" s="281"/>
      <c r="DC100" s="279"/>
      <c r="DD100" s="279"/>
      <c r="DE100" s="189"/>
      <c r="DF100" s="189"/>
      <c r="DG100" s="189"/>
      <c r="DH100" s="189"/>
      <c r="DI100" s="194"/>
      <c r="DJ100" s="281"/>
      <c r="DK100" s="279"/>
      <c r="DL100" s="279"/>
      <c r="DM100" s="189"/>
      <c r="DN100" s="189"/>
      <c r="DO100" s="189"/>
      <c r="DP100" s="189"/>
      <c r="DQ100" s="194"/>
      <c r="DR100" s="281"/>
      <c r="DS100" s="279"/>
      <c r="DT100" s="279"/>
      <c r="DU100" s="189"/>
      <c r="DV100" s="189"/>
      <c r="DW100" s="189"/>
      <c r="DX100" s="189"/>
      <c r="DY100" s="194"/>
      <c r="DZ100" s="281"/>
      <c r="EA100" s="279"/>
      <c r="EB100" s="279"/>
      <c r="EC100" s="189"/>
      <c r="ED100" s="189"/>
      <c r="EE100" s="189"/>
      <c r="EF100" s="189"/>
      <c r="EG100" s="194"/>
      <c r="EH100" s="281"/>
      <c r="EI100" s="279"/>
      <c r="EJ100" s="279"/>
      <c r="EK100" s="189"/>
      <c r="EL100" s="189"/>
      <c r="EM100" s="189"/>
      <c r="EN100" s="189"/>
      <c r="EO100" s="194"/>
      <c r="EP100" s="281"/>
      <c r="EQ100" s="279"/>
      <c r="ER100" s="279"/>
      <c r="ES100" s="189"/>
      <c r="ET100" s="189"/>
      <c r="EU100" s="189"/>
      <c r="EV100" s="189"/>
      <c r="EW100" s="194"/>
      <c r="EX100" s="281"/>
      <c r="EY100" s="279"/>
      <c r="EZ100" s="279"/>
      <c r="FA100" s="189"/>
      <c r="FB100" s="189"/>
      <c r="FC100" s="189"/>
      <c r="FD100" s="189"/>
      <c r="FE100" s="194"/>
      <c r="FF100" s="281"/>
      <c r="FG100" s="279"/>
      <c r="FH100" s="279"/>
      <c r="FI100" s="189"/>
      <c r="FJ100" s="189"/>
      <c r="FK100" s="189"/>
      <c r="FL100" s="189"/>
      <c r="FM100" s="194"/>
      <c r="FN100" s="281"/>
      <c r="FO100" s="279"/>
      <c r="FP100" s="279"/>
      <c r="FQ100" s="189"/>
      <c r="FR100" s="189"/>
      <c r="FS100" s="189"/>
      <c r="FT100" s="189"/>
      <c r="FU100" s="194"/>
      <c r="FV100" s="281"/>
      <c r="FW100" s="279"/>
      <c r="FX100" s="279"/>
      <c r="FY100" s="189"/>
      <c r="FZ100" s="189"/>
      <c r="GA100" s="189"/>
      <c r="GB100" s="189"/>
      <c r="GC100" s="194"/>
      <c r="GD100" s="281"/>
      <c r="GE100" s="279"/>
      <c r="GF100" s="279"/>
      <c r="GG100" s="189"/>
      <c r="GH100" s="189"/>
      <c r="GI100" s="189"/>
      <c r="GJ100" s="189"/>
      <c r="GK100" s="194"/>
      <c r="GL100" s="281"/>
      <c r="GM100" s="279"/>
      <c r="GN100" s="279"/>
      <c r="GO100" s="189"/>
      <c r="GP100" s="189"/>
      <c r="GQ100" s="189"/>
      <c r="GR100" s="189"/>
      <c r="GS100" s="194"/>
      <c r="GT100" s="281"/>
      <c r="GU100" s="279"/>
      <c r="GV100" s="279"/>
      <c r="GW100" s="189"/>
      <c r="GX100" s="189"/>
      <c r="GY100" s="189"/>
      <c r="GZ100" s="189"/>
      <c r="HA100" s="194"/>
      <c r="HB100" s="281"/>
      <c r="HC100" s="279"/>
      <c r="HD100" s="279"/>
      <c r="HE100" s="189"/>
      <c r="HF100" s="189"/>
      <c r="HG100" s="189"/>
      <c r="HH100" s="189"/>
      <c r="HI100" s="194"/>
      <c r="HJ100" s="281"/>
      <c r="HK100" s="279"/>
      <c r="HL100" s="279"/>
      <c r="HM100" s="189"/>
      <c r="HN100" s="189"/>
      <c r="HO100" s="189"/>
      <c r="HP100" s="189"/>
      <c r="HQ100" s="194"/>
      <c r="HR100" s="281"/>
      <c r="HS100" s="279"/>
      <c r="HT100" s="279"/>
      <c r="HU100" s="189"/>
      <c r="HV100" s="189"/>
      <c r="HW100" s="189"/>
      <c r="HX100" s="189"/>
      <c r="HY100" s="194"/>
      <c r="HZ100" s="281"/>
      <c r="IA100" s="279"/>
      <c r="IB100" s="279"/>
      <c r="IC100" s="189"/>
      <c r="ID100" s="189"/>
      <c r="IE100" s="189"/>
      <c r="IF100" s="189"/>
      <c r="IG100" s="194"/>
      <c r="IH100" s="281"/>
      <c r="II100" s="279"/>
      <c r="IJ100" s="279"/>
      <c r="IK100" s="189"/>
      <c r="IL100" s="189"/>
      <c r="IM100" s="189"/>
      <c r="IN100" s="189"/>
    </row>
    <row r="101" spans="1:248" s="188" customFormat="1" ht="12.75">
      <c r="A101" s="227"/>
      <c r="B101" s="266" t="s">
        <v>447</v>
      </c>
      <c r="C101" s="290" t="s">
        <v>476</v>
      </c>
      <c r="D101" s="210">
        <v>850</v>
      </c>
      <c r="E101" s="247">
        <v>1</v>
      </c>
      <c r="F101" s="247">
        <v>1</v>
      </c>
      <c r="G101" s="210">
        <v>850</v>
      </c>
      <c r="H101" s="291">
        <f t="shared" si="3"/>
        <v>19916.65163342733</v>
      </c>
      <c r="I101" s="212"/>
      <c r="J101" s="181"/>
      <c r="K101" s="181"/>
      <c r="L101" s="279"/>
      <c r="M101" s="189"/>
      <c r="N101" s="189"/>
      <c r="O101" s="189"/>
      <c r="P101" s="189"/>
      <c r="Q101" s="194"/>
      <c r="R101" s="281"/>
      <c r="S101" s="279"/>
      <c r="T101" s="279"/>
      <c r="U101" s="189"/>
      <c r="V101" s="189"/>
      <c r="W101" s="189"/>
      <c r="X101" s="189"/>
      <c r="Y101" s="194"/>
      <c r="Z101" s="281"/>
      <c r="AA101" s="279"/>
      <c r="AB101" s="279"/>
      <c r="AC101" s="189"/>
      <c r="AD101" s="189"/>
      <c r="AE101" s="189"/>
      <c r="AF101" s="189"/>
      <c r="AG101" s="194"/>
      <c r="AH101" s="281"/>
      <c r="AI101" s="279"/>
      <c r="AJ101" s="279"/>
      <c r="AK101" s="189"/>
      <c r="AL101" s="189"/>
      <c r="AM101" s="189"/>
      <c r="AN101" s="189"/>
      <c r="AO101" s="194"/>
      <c r="AP101" s="281"/>
      <c r="AQ101" s="279"/>
      <c r="AR101" s="279"/>
      <c r="AS101" s="189"/>
      <c r="AT101" s="189"/>
      <c r="AU101" s="189"/>
      <c r="AV101" s="189"/>
      <c r="AW101" s="194"/>
      <c r="AX101" s="281"/>
      <c r="AY101" s="279"/>
      <c r="AZ101" s="279"/>
      <c r="BA101" s="189"/>
      <c r="BB101" s="189"/>
      <c r="BC101" s="189"/>
      <c r="BD101" s="189"/>
      <c r="BE101" s="194"/>
      <c r="BF101" s="281"/>
      <c r="BG101" s="279"/>
      <c r="BH101" s="279"/>
      <c r="BI101" s="189"/>
      <c r="BJ101" s="189"/>
      <c r="BK101" s="189"/>
      <c r="BL101" s="189"/>
      <c r="BM101" s="194"/>
      <c r="BN101" s="281"/>
      <c r="BO101" s="279"/>
      <c r="BP101" s="279"/>
      <c r="BQ101" s="189"/>
      <c r="BR101" s="189"/>
      <c r="BS101" s="189"/>
      <c r="BT101" s="189"/>
      <c r="BU101" s="194"/>
      <c r="BV101" s="281"/>
      <c r="BW101" s="279"/>
      <c r="BX101" s="279"/>
      <c r="BY101" s="189"/>
      <c r="BZ101" s="189"/>
      <c r="CA101" s="189"/>
      <c r="CB101" s="189"/>
      <c r="CC101" s="194"/>
      <c r="CD101" s="281"/>
      <c r="CE101" s="279"/>
      <c r="CF101" s="279"/>
      <c r="CG101" s="189"/>
      <c r="CH101" s="189"/>
      <c r="CI101" s="189"/>
      <c r="CJ101" s="189"/>
      <c r="CK101" s="194"/>
      <c r="CL101" s="281"/>
      <c r="CM101" s="279"/>
      <c r="CN101" s="279"/>
      <c r="CO101" s="189"/>
      <c r="CP101" s="189"/>
      <c r="CQ101" s="189"/>
      <c r="CR101" s="189"/>
      <c r="CS101" s="194"/>
      <c r="CT101" s="281"/>
      <c r="CU101" s="279"/>
      <c r="CV101" s="279"/>
      <c r="CW101" s="189"/>
      <c r="CX101" s="189"/>
      <c r="CY101" s="189"/>
      <c r="CZ101" s="189"/>
      <c r="DA101" s="194"/>
      <c r="DB101" s="281"/>
      <c r="DC101" s="279"/>
      <c r="DD101" s="279"/>
      <c r="DE101" s="189"/>
      <c r="DF101" s="189"/>
      <c r="DG101" s="189"/>
      <c r="DH101" s="189"/>
      <c r="DI101" s="194"/>
      <c r="DJ101" s="281"/>
      <c r="DK101" s="279"/>
      <c r="DL101" s="279"/>
      <c r="DM101" s="189"/>
      <c r="DN101" s="189"/>
      <c r="DO101" s="189"/>
      <c r="DP101" s="189"/>
      <c r="DQ101" s="194"/>
      <c r="DR101" s="281"/>
      <c r="DS101" s="279"/>
      <c r="DT101" s="279"/>
      <c r="DU101" s="189"/>
      <c r="DV101" s="189"/>
      <c r="DW101" s="189"/>
      <c r="DX101" s="189"/>
      <c r="DY101" s="194"/>
      <c r="DZ101" s="281"/>
      <c r="EA101" s="279"/>
      <c r="EB101" s="279"/>
      <c r="EC101" s="189"/>
      <c r="ED101" s="189"/>
      <c r="EE101" s="189"/>
      <c r="EF101" s="189"/>
      <c r="EG101" s="194"/>
      <c r="EH101" s="281"/>
      <c r="EI101" s="279"/>
      <c r="EJ101" s="279"/>
      <c r="EK101" s="189"/>
      <c r="EL101" s="189"/>
      <c r="EM101" s="189"/>
      <c r="EN101" s="189"/>
      <c r="EO101" s="194"/>
      <c r="EP101" s="281"/>
      <c r="EQ101" s="279"/>
      <c r="ER101" s="279"/>
      <c r="ES101" s="189"/>
      <c r="ET101" s="189"/>
      <c r="EU101" s="189"/>
      <c r="EV101" s="189"/>
      <c r="EW101" s="194"/>
      <c r="EX101" s="281"/>
      <c r="EY101" s="279"/>
      <c r="EZ101" s="279"/>
      <c r="FA101" s="189"/>
      <c r="FB101" s="189"/>
      <c r="FC101" s="189"/>
      <c r="FD101" s="189"/>
      <c r="FE101" s="194"/>
      <c r="FF101" s="281"/>
      <c r="FG101" s="279"/>
      <c r="FH101" s="279"/>
      <c r="FI101" s="189"/>
      <c r="FJ101" s="189"/>
      <c r="FK101" s="189"/>
      <c r="FL101" s="189"/>
      <c r="FM101" s="194"/>
      <c r="FN101" s="281"/>
      <c r="FO101" s="279"/>
      <c r="FP101" s="279"/>
      <c r="FQ101" s="189"/>
      <c r="FR101" s="189"/>
      <c r="FS101" s="189"/>
      <c r="FT101" s="189"/>
      <c r="FU101" s="194"/>
      <c r="FV101" s="281"/>
      <c r="FW101" s="279"/>
      <c r="FX101" s="279"/>
      <c r="FY101" s="189"/>
      <c r="FZ101" s="189"/>
      <c r="GA101" s="189"/>
      <c r="GB101" s="189"/>
      <c r="GC101" s="194"/>
      <c r="GD101" s="281"/>
      <c r="GE101" s="279"/>
      <c r="GF101" s="279"/>
      <c r="GG101" s="189"/>
      <c r="GH101" s="189"/>
      <c r="GI101" s="189"/>
      <c r="GJ101" s="189"/>
      <c r="GK101" s="194"/>
      <c r="GL101" s="281"/>
      <c r="GM101" s="279"/>
      <c r="GN101" s="279"/>
      <c r="GO101" s="189"/>
      <c r="GP101" s="189"/>
      <c r="GQ101" s="189"/>
      <c r="GR101" s="189"/>
      <c r="GS101" s="194"/>
      <c r="GT101" s="281"/>
      <c r="GU101" s="279"/>
      <c r="GV101" s="279"/>
      <c r="GW101" s="189"/>
      <c r="GX101" s="189"/>
      <c r="GY101" s="189"/>
      <c r="GZ101" s="189"/>
      <c r="HA101" s="194"/>
      <c r="HB101" s="281"/>
      <c r="HC101" s="279"/>
      <c r="HD101" s="279"/>
      <c r="HE101" s="189"/>
      <c r="HF101" s="189"/>
      <c r="HG101" s="189"/>
      <c r="HH101" s="189"/>
      <c r="HI101" s="194"/>
      <c r="HJ101" s="281"/>
      <c r="HK101" s="279"/>
      <c r="HL101" s="279"/>
      <c r="HM101" s="189"/>
      <c r="HN101" s="189"/>
      <c r="HO101" s="189"/>
      <c r="HP101" s="189"/>
      <c r="HQ101" s="194"/>
      <c r="HR101" s="281"/>
      <c r="HS101" s="279"/>
      <c r="HT101" s="279"/>
      <c r="HU101" s="189"/>
      <c r="HV101" s="189"/>
      <c r="HW101" s="189"/>
      <c r="HX101" s="189"/>
      <c r="HY101" s="194"/>
      <c r="HZ101" s="281"/>
      <c r="IA101" s="279"/>
      <c r="IB101" s="279"/>
      <c r="IC101" s="189"/>
      <c r="ID101" s="189"/>
      <c r="IE101" s="189"/>
      <c r="IF101" s="189"/>
      <c r="IG101" s="194"/>
      <c r="IH101" s="281"/>
      <c r="II101" s="279"/>
      <c r="IJ101" s="279"/>
      <c r="IK101" s="189"/>
      <c r="IL101" s="189"/>
      <c r="IM101" s="189"/>
      <c r="IN101" s="189"/>
    </row>
    <row r="102" spans="1:248" s="188" customFormat="1" ht="12.75">
      <c r="A102" s="227"/>
      <c r="B102" s="266" t="s">
        <v>570</v>
      </c>
      <c r="C102" s="290" t="s">
        <v>476</v>
      </c>
      <c r="D102" s="210">
        <f>200+200</f>
        <v>400</v>
      </c>
      <c r="E102" s="247">
        <v>1</v>
      </c>
      <c r="F102" s="247">
        <v>1</v>
      </c>
      <c r="G102" s="210">
        <f>200+200</f>
        <v>400</v>
      </c>
      <c r="H102" s="291">
        <f t="shared" si="3"/>
        <v>9372.541945142273</v>
      </c>
      <c r="I102" s="212"/>
      <c r="J102" s="181"/>
      <c r="K102" s="181"/>
      <c r="L102" s="279"/>
      <c r="M102" s="189"/>
      <c r="N102" s="189"/>
      <c r="O102" s="189"/>
      <c r="P102" s="189"/>
      <c r="Q102" s="194"/>
      <c r="R102" s="281"/>
      <c r="S102" s="279"/>
      <c r="T102" s="279"/>
      <c r="U102" s="189"/>
      <c r="V102" s="189"/>
      <c r="W102" s="189"/>
      <c r="X102" s="189"/>
      <c r="Y102" s="194"/>
      <c r="Z102" s="281"/>
      <c r="AA102" s="279"/>
      <c r="AB102" s="279"/>
      <c r="AC102" s="189"/>
      <c r="AD102" s="189"/>
      <c r="AE102" s="189"/>
      <c r="AF102" s="189"/>
      <c r="AG102" s="194"/>
      <c r="AH102" s="281"/>
      <c r="AI102" s="279"/>
      <c r="AJ102" s="279"/>
      <c r="AK102" s="189"/>
      <c r="AL102" s="189"/>
      <c r="AM102" s="189"/>
      <c r="AN102" s="189"/>
      <c r="AO102" s="194"/>
      <c r="AP102" s="281"/>
      <c r="AQ102" s="279"/>
      <c r="AR102" s="279"/>
      <c r="AS102" s="189"/>
      <c r="AT102" s="189"/>
      <c r="AU102" s="189"/>
      <c r="AV102" s="189"/>
      <c r="AW102" s="194"/>
      <c r="AX102" s="281"/>
      <c r="AY102" s="279"/>
      <c r="AZ102" s="279"/>
      <c r="BA102" s="189"/>
      <c r="BB102" s="189"/>
      <c r="BC102" s="189"/>
      <c r="BD102" s="189"/>
      <c r="BE102" s="194"/>
      <c r="BF102" s="281"/>
      <c r="BG102" s="279"/>
      <c r="BH102" s="279"/>
      <c r="BI102" s="189"/>
      <c r="BJ102" s="189"/>
      <c r="BK102" s="189"/>
      <c r="BL102" s="189"/>
      <c r="BM102" s="194"/>
      <c r="BN102" s="281"/>
      <c r="BO102" s="279"/>
      <c r="BP102" s="279"/>
      <c r="BQ102" s="189"/>
      <c r="BR102" s="189"/>
      <c r="BS102" s="189"/>
      <c r="BT102" s="189"/>
      <c r="BU102" s="194"/>
      <c r="BV102" s="281"/>
      <c r="BW102" s="279"/>
      <c r="BX102" s="279"/>
      <c r="BY102" s="189"/>
      <c r="BZ102" s="189"/>
      <c r="CA102" s="189"/>
      <c r="CB102" s="189"/>
      <c r="CC102" s="194"/>
      <c r="CD102" s="281"/>
      <c r="CE102" s="279"/>
      <c r="CF102" s="279"/>
      <c r="CG102" s="189"/>
      <c r="CH102" s="189"/>
      <c r="CI102" s="189"/>
      <c r="CJ102" s="189"/>
      <c r="CK102" s="194"/>
      <c r="CL102" s="281"/>
      <c r="CM102" s="279"/>
      <c r="CN102" s="279"/>
      <c r="CO102" s="189"/>
      <c r="CP102" s="189"/>
      <c r="CQ102" s="189"/>
      <c r="CR102" s="189"/>
      <c r="CS102" s="194"/>
      <c r="CT102" s="281"/>
      <c r="CU102" s="279"/>
      <c r="CV102" s="279"/>
      <c r="CW102" s="189"/>
      <c r="CX102" s="189"/>
      <c r="CY102" s="189"/>
      <c r="CZ102" s="189"/>
      <c r="DA102" s="194"/>
      <c r="DB102" s="281"/>
      <c r="DC102" s="279"/>
      <c r="DD102" s="279"/>
      <c r="DE102" s="189"/>
      <c r="DF102" s="189"/>
      <c r="DG102" s="189"/>
      <c r="DH102" s="189"/>
      <c r="DI102" s="194"/>
      <c r="DJ102" s="281"/>
      <c r="DK102" s="279"/>
      <c r="DL102" s="279"/>
      <c r="DM102" s="189"/>
      <c r="DN102" s="189"/>
      <c r="DO102" s="189"/>
      <c r="DP102" s="189"/>
      <c r="DQ102" s="194"/>
      <c r="DR102" s="281"/>
      <c r="DS102" s="279"/>
      <c r="DT102" s="279"/>
      <c r="DU102" s="189"/>
      <c r="DV102" s="189"/>
      <c r="DW102" s="189"/>
      <c r="DX102" s="189"/>
      <c r="DY102" s="194"/>
      <c r="DZ102" s="281"/>
      <c r="EA102" s="279"/>
      <c r="EB102" s="279"/>
      <c r="EC102" s="189"/>
      <c r="ED102" s="189"/>
      <c r="EE102" s="189"/>
      <c r="EF102" s="189"/>
      <c r="EG102" s="194"/>
      <c r="EH102" s="281"/>
      <c r="EI102" s="279"/>
      <c r="EJ102" s="279"/>
      <c r="EK102" s="189"/>
      <c r="EL102" s="189"/>
      <c r="EM102" s="189"/>
      <c r="EN102" s="189"/>
      <c r="EO102" s="194"/>
      <c r="EP102" s="281"/>
      <c r="EQ102" s="279"/>
      <c r="ER102" s="279"/>
      <c r="ES102" s="189"/>
      <c r="ET102" s="189"/>
      <c r="EU102" s="189"/>
      <c r="EV102" s="189"/>
      <c r="EW102" s="194"/>
      <c r="EX102" s="281"/>
      <c r="EY102" s="279"/>
      <c r="EZ102" s="279"/>
      <c r="FA102" s="189"/>
      <c r="FB102" s="189"/>
      <c r="FC102" s="189"/>
      <c r="FD102" s="189"/>
      <c r="FE102" s="194"/>
      <c r="FF102" s="281"/>
      <c r="FG102" s="279"/>
      <c r="FH102" s="279"/>
      <c r="FI102" s="189"/>
      <c r="FJ102" s="189"/>
      <c r="FK102" s="189"/>
      <c r="FL102" s="189"/>
      <c r="FM102" s="194"/>
      <c r="FN102" s="281"/>
      <c r="FO102" s="279"/>
      <c r="FP102" s="279"/>
      <c r="FQ102" s="189"/>
      <c r="FR102" s="189"/>
      <c r="FS102" s="189"/>
      <c r="FT102" s="189"/>
      <c r="FU102" s="194"/>
      <c r="FV102" s="281"/>
      <c r="FW102" s="279"/>
      <c r="FX102" s="279"/>
      <c r="FY102" s="189"/>
      <c r="FZ102" s="189"/>
      <c r="GA102" s="189"/>
      <c r="GB102" s="189"/>
      <c r="GC102" s="194"/>
      <c r="GD102" s="281"/>
      <c r="GE102" s="279"/>
      <c r="GF102" s="279"/>
      <c r="GG102" s="189"/>
      <c r="GH102" s="189"/>
      <c r="GI102" s="189"/>
      <c r="GJ102" s="189"/>
      <c r="GK102" s="194"/>
      <c r="GL102" s="281"/>
      <c r="GM102" s="279"/>
      <c r="GN102" s="279"/>
      <c r="GO102" s="189"/>
      <c r="GP102" s="189"/>
      <c r="GQ102" s="189"/>
      <c r="GR102" s="189"/>
      <c r="GS102" s="194"/>
      <c r="GT102" s="281"/>
      <c r="GU102" s="279"/>
      <c r="GV102" s="279"/>
      <c r="GW102" s="189"/>
      <c r="GX102" s="189"/>
      <c r="GY102" s="189"/>
      <c r="GZ102" s="189"/>
      <c r="HA102" s="194"/>
      <c r="HB102" s="281"/>
      <c r="HC102" s="279"/>
      <c r="HD102" s="279"/>
      <c r="HE102" s="189"/>
      <c r="HF102" s="189"/>
      <c r="HG102" s="189"/>
      <c r="HH102" s="189"/>
      <c r="HI102" s="194"/>
      <c r="HJ102" s="281"/>
      <c r="HK102" s="279"/>
      <c r="HL102" s="279"/>
      <c r="HM102" s="189"/>
      <c r="HN102" s="189"/>
      <c r="HO102" s="189"/>
      <c r="HP102" s="189"/>
      <c r="HQ102" s="194"/>
      <c r="HR102" s="281"/>
      <c r="HS102" s="279"/>
      <c r="HT102" s="279"/>
      <c r="HU102" s="189"/>
      <c r="HV102" s="189"/>
      <c r="HW102" s="189"/>
      <c r="HX102" s="189"/>
      <c r="HY102" s="194"/>
      <c r="HZ102" s="281"/>
      <c r="IA102" s="279"/>
      <c r="IB102" s="279"/>
      <c r="IC102" s="189"/>
      <c r="ID102" s="189"/>
      <c r="IE102" s="189"/>
      <c r="IF102" s="189"/>
      <c r="IG102" s="194"/>
      <c r="IH102" s="281"/>
      <c r="II102" s="279"/>
      <c r="IJ102" s="279"/>
      <c r="IK102" s="189"/>
      <c r="IL102" s="189"/>
      <c r="IM102" s="189"/>
      <c r="IN102" s="189"/>
    </row>
    <row r="103" spans="1:248" s="188" customFormat="1" ht="12.75">
      <c r="A103" s="227"/>
      <c r="B103" s="266" t="s">
        <v>630</v>
      </c>
      <c r="C103" s="290" t="s">
        <v>476</v>
      </c>
      <c r="D103" s="210">
        <v>60</v>
      </c>
      <c r="E103" s="247"/>
      <c r="F103" s="247"/>
      <c r="G103" s="210">
        <v>60</v>
      </c>
      <c r="H103" s="291">
        <f t="shared" si="3"/>
        <v>1405.8812917713408</v>
      </c>
      <c r="I103" s="212"/>
      <c r="J103" s="181"/>
      <c r="K103" s="181"/>
      <c r="L103" s="279"/>
      <c r="M103" s="189"/>
      <c r="N103" s="189"/>
      <c r="O103" s="189"/>
      <c r="P103" s="189"/>
      <c r="Q103" s="194"/>
      <c r="R103" s="281"/>
      <c r="S103" s="279"/>
      <c r="T103" s="279"/>
      <c r="U103" s="189"/>
      <c r="V103" s="189"/>
      <c r="W103" s="189"/>
      <c r="X103" s="189"/>
      <c r="Y103" s="194"/>
      <c r="Z103" s="281"/>
      <c r="AA103" s="279"/>
      <c r="AB103" s="279"/>
      <c r="AC103" s="189"/>
      <c r="AD103" s="189"/>
      <c r="AE103" s="189"/>
      <c r="AF103" s="189"/>
      <c r="AG103" s="194"/>
      <c r="AH103" s="281"/>
      <c r="AI103" s="279"/>
      <c r="AJ103" s="279"/>
      <c r="AK103" s="189"/>
      <c r="AL103" s="189"/>
      <c r="AM103" s="189"/>
      <c r="AN103" s="189"/>
      <c r="AO103" s="194"/>
      <c r="AP103" s="281"/>
      <c r="AQ103" s="279"/>
      <c r="AR103" s="279"/>
      <c r="AS103" s="189"/>
      <c r="AT103" s="189"/>
      <c r="AU103" s="189"/>
      <c r="AV103" s="189"/>
      <c r="AW103" s="194"/>
      <c r="AX103" s="281"/>
      <c r="AY103" s="279"/>
      <c r="AZ103" s="279"/>
      <c r="BA103" s="189"/>
      <c r="BB103" s="189"/>
      <c r="BC103" s="189"/>
      <c r="BD103" s="189"/>
      <c r="BE103" s="194"/>
      <c r="BF103" s="281"/>
      <c r="BG103" s="279"/>
      <c r="BH103" s="279"/>
      <c r="BI103" s="189"/>
      <c r="BJ103" s="189"/>
      <c r="BK103" s="189"/>
      <c r="BL103" s="189"/>
      <c r="BM103" s="194"/>
      <c r="BN103" s="281"/>
      <c r="BO103" s="279"/>
      <c r="BP103" s="279"/>
      <c r="BQ103" s="189"/>
      <c r="BR103" s="189"/>
      <c r="BS103" s="189"/>
      <c r="BT103" s="189"/>
      <c r="BU103" s="194"/>
      <c r="BV103" s="281"/>
      <c r="BW103" s="279"/>
      <c r="BX103" s="279"/>
      <c r="BY103" s="189"/>
      <c r="BZ103" s="189"/>
      <c r="CA103" s="189"/>
      <c r="CB103" s="189"/>
      <c r="CC103" s="194"/>
      <c r="CD103" s="281"/>
      <c r="CE103" s="279"/>
      <c r="CF103" s="279"/>
      <c r="CG103" s="189"/>
      <c r="CH103" s="189"/>
      <c r="CI103" s="189"/>
      <c r="CJ103" s="189"/>
      <c r="CK103" s="194"/>
      <c r="CL103" s="281"/>
      <c r="CM103" s="279"/>
      <c r="CN103" s="279"/>
      <c r="CO103" s="189"/>
      <c r="CP103" s="189"/>
      <c r="CQ103" s="189"/>
      <c r="CR103" s="189"/>
      <c r="CS103" s="194"/>
      <c r="CT103" s="281"/>
      <c r="CU103" s="279"/>
      <c r="CV103" s="279"/>
      <c r="CW103" s="189"/>
      <c r="CX103" s="189"/>
      <c r="CY103" s="189"/>
      <c r="CZ103" s="189"/>
      <c r="DA103" s="194"/>
      <c r="DB103" s="281"/>
      <c r="DC103" s="279"/>
      <c r="DD103" s="279"/>
      <c r="DE103" s="189"/>
      <c r="DF103" s="189"/>
      <c r="DG103" s="189"/>
      <c r="DH103" s="189"/>
      <c r="DI103" s="194"/>
      <c r="DJ103" s="281"/>
      <c r="DK103" s="279"/>
      <c r="DL103" s="279"/>
      <c r="DM103" s="189"/>
      <c r="DN103" s="189"/>
      <c r="DO103" s="189"/>
      <c r="DP103" s="189"/>
      <c r="DQ103" s="194"/>
      <c r="DR103" s="281"/>
      <c r="DS103" s="279"/>
      <c r="DT103" s="279"/>
      <c r="DU103" s="189"/>
      <c r="DV103" s="189"/>
      <c r="DW103" s="189"/>
      <c r="DX103" s="189"/>
      <c r="DY103" s="194"/>
      <c r="DZ103" s="281"/>
      <c r="EA103" s="279"/>
      <c r="EB103" s="279"/>
      <c r="EC103" s="189"/>
      <c r="ED103" s="189"/>
      <c r="EE103" s="189"/>
      <c r="EF103" s="189"/>
      <c r="EG103" s="194"/>
      <c r="EH103" s="281"/>
      <c r="EI103" s="279"/>
      <c r="EJ103" s="279"/>
      <c r="EK103" s="189"/>
      <c r="EL103" s="189"/>
      <c r="EM103" s="189"/>
      <c r="EN103" s="189"/>
      <c r="EO103" s="194"/>
      <c r="EP103" s="281"/>
      <c r="EQ103" s="279"/>
      <c r="ER103" s="279"/>
      <c r="ES103" s="189"/>
      <c r="ET103" s="189"/>
      <c r="EU103" s="189"/>
      <c r="EV103" s="189"/>
      <c r="EW103" s="194"/>
      <c r="EX103" s="281"/>
      <c r="EY103" s="279"/>
      <c r="EZ103" s="279"/>
      <c r="FA103" s="189"/>
      <c r="FB103" s="189"/>
      <c r="FC103" s="189"/>
      <c r="FD103" s="189"/>
      <c r="FE103" s="194"/>
      <c r="FF103" s="281"/>
      <c r="FG103" s="279"/>
      <c r="FH103" s="279"/>
      <c r="FI103" s="189"/>
      <c r="FJ103" s="189"/>
      <c r="FK103" s="189"/>
      <c r="FL103" s="189"/>
      <c r="FM103" s="194"/>
      <c r="FN103" s="281"/>
      <c r="FO103" s="279"/>
      <c r="FP103" s="279"/>
      <c r="FQ103" s="189"/>
      <c r="FR103" s="189"/>
      <c r="FS103" s="189"/>
      <c r="FT103" s="189"/>
      <c r="FU103" s="194"/>
      <c r="FV103" s="281"/>
      <c r="FW103" s="279"/>
      <c r="FX103" s="279"/>
      <c r="FY103" s="189"/>
      <c r="FZ103" s="189"/>
      <c r="GA103" s="189"/>
      <c r="GB103" s="189"/>
      <c r="GC103" s="194"/>
      <c r="GD103" s="281"/>
      <c r="GE103" s="279"/>
      <c r="GF103" s="279"/>
      <c r="GG103" s="189"/>
      <c r="GH103" s="189"/>
      <c r="GI103" s="189"/>
      <c r="GJ103" s="189"/>
      <c r="GK103" s="194"/>
      <c r="GL103" s="281"/>
      <c r="GM103" s="279"/>
      <c r="GN103" s="279"/>
      <c r="GO103" s="189"/>
      <c r="GP103" s="189"/>
      <c r="GQ103" s="189"/>
      <c r="GR103" s="189"/>
      <c r="GS103" s="194"/>
      <c r="GT103" s="281"/>
      <c r="GU103" s="279"/>
      <c r="GV103" s="279"/>
      <c r="GW103" s="189"/>
      <c r="GX103" s="189"/>
      <c r="GY103" s="189"/>
      <c r="GZ103" s="189"/>
      <c r="HA103" s="194"/>
      <c r="HB103" s="281"/>
      <c r="HC103" s="279"/>
      <c r="HD103" s="279"/>
      <c r="HE103" s="189"/>
      <c r="HF103" s="189"/>
      <c r="HG103" s="189"/>
      <c r="HH103" s="189"/>
      <c r="HI103" s="194"/>
      <c r="HJ103" s="281"/>
      <c r="HK103" s="279"/>
      <c r="HL103" s="279"/>
      <c r="HM103" s="189"/>
      <c r="HN103" s="189"/>
      <c r="HO103" s="189"/>
      <c r="HP103" s="189"/>
      <c r="HQ103" s="194"/>
      <c r="HR103" s="281"/>
      <c r="HS103" s="279"/>
      <c r="HT103" s="279"/>
      <c r="HU103" s="189"/>
      <c r="HV103" s="189"/>
      <c r="HW103" s="189"/>
      <c r="HX103" s="189"/>
      <c r="HY103" s="194"/>
      <c r="HZ103" s="281"/>
      <c r="IA103" s="279"/>
      <c r="IB103" s="279"/>
      <c r="IC103" s="189"/>
      <c r="ID103" s="189"/>
      <c r="IE103" s="189"/>
      <c r="IF103" s="189"/>
      <c r="IG103" s="194"/>
      <c r="IH103" s="281"/>
      <c r="II103" s="279"/>
      <c r="IJ103" s="279"/>
      <c r="IK103" s="189"/>
      <c r="IL103" s="189"/>
      <c r="IM103" s="189"/>
      <c r="IN103" s="189"/>
    </row>
    <row r="104" spans="1:248" s="188" customFormat="1" ht="12.75">
      <c r="A104" s="227"/>
      <c r="B104" s="266" t="s">
        <v>544</v>
      </c>
      <c r="C104" s="290" t="s">
        <v>476</v>
      </c>
      <c r="D104" s="210">
        <v>500</v>
      </c>
      <c r="E104" s="247">
        <v>1</v>
      </c>
      <c r="F104" s="247">
        <v>1</v>
      </c>
      <c r="G104" s="210">
        <v>500</v>
      </c>
      <c r="H104" s="291">
        <f t="shared" si="3"/>
        <v>11715.677431427841</v>
      </c>
      <c r="I104" s="212"/>
      <c r="J104" s="181"/>
      <c r="K104" s="181"/>
      <c r="L104" s="279"/>
      <c r="M104" s="189"/>
      <c r="N104" s="189"/>
      <c r="O104" s="189"/>
      <c r="P104" s="189"/>
      <c r="Q104" s="194"/>
      <c r="R104" s="281"/>
      <c r="S104" s="279"/>
      <c r="T104" s="279"/>
      <c r="U104" s="189"/>
      <c r="V104" s="189"/>
      <c r="W104" s="189"/>
      <c r="X104" s="189"/>
      <c r="Y104" s="194"/>
      <c r="Z104" s="281"/>
      <c r="AA104" s="279"/>
      <c r="AB104" s="279"/>
      <c r="AC104" s="189"/>
      <c r="AD104" s="189"/>
      <c r="AE104" s="189"/>
      <c r="AF104" s="189"/>
      <c r="AG104" s="194"/>
      <c r="AH104" s="281"/>
      <c r="AI104" s="279"/>
      <c r="AJ104" s="279"/>
      <c r="AK104" s="189"/>
      <c r="AL104" s="189"/>
      <c r="AM104" s="189"/>
      <c r="AN104" s="189"/>
      <c r="AO104" s="194"/>
      <c r="AP104" s="281"/>
      <c r="AQ104" s="279"/>
      <c r="AR104" s="279"/>
      <c r="AS104" s="189"/>
      <c r="AT104" s="189"/>
      <c r="AU104" s="189"/>
      <c r="AV104" s="189"/>
      <c r="AW104" s="194"/>
      <c r="AX104" s="281"/>
      <c r="AY104" s="279"/>
      <c r="AZ104" s="279"/>
      <c r="BA104" s="189"/>
      <c r="BB104" s="189"/>
      <c r="BC104" s="189"/>
      <c r="BD104" s="189"/>
      <c r="BE104" s="194"/>
      <c r="BF104" s="281"/>
      <c r="BG104" s="279"/>
      <c r="BH104" s="279"/>
      <c r="BI104" s="189"/>
      <c r="BJ104" s="189"/>
      <c r="BK104" s="189"/>
      <c r="BL104" s="189"/>
      <c r="BM104" s="194"/>
      <c r="BN104" s="281"/>
      <c r="BO104" s="279"/>
      <c r="BP104" s="279"/>
      <c r="BQ104" s="189"/>
      <c r="BR104" s="189"/>
      <c r="BS104" s="189"/>
      <c r="BT104" s="189"/>
      <c r="BU104" s="194"/>
      <c r="BV104" s="281"/>
      <c r="BW104" s="279"/>
      <c r="BX104" s="279"/>
      <c r="BY104" s="189"/>
      <c r="BZ104" s="189"/>
      <c r="CA104" s="189"/>
      <c r="CB104" s="189"/>
      <c r="CC104" s="194"/>
      <c r="CD104" s="281"/>
      <c r="CE104" s="279"/>
      <c r="CF104" s="279"/>
      <c r="CG104" s="189"/>
      <c r="CH104" s="189"/>
      <c r="CI104" s="189"/>
      <c r="CJ104" s="189"/>
      <c r="CK104" s="194"/>
      <c r="CL104" s="281"/>
      <c r="CM104" s="279"/>
      <c r="CN104" s="279"/>
      <c r="CO104" s="189"/>
      <c r="CP104" s="189"/>
      <c r="CQ104" s="189"/>
      <c r="CR104" s="189"/>
      <c r="CS104" s="194"/>
      <c r="CT104" s="281"/>
      <c r="CU104" s="279"/>
      <c r="CV104" s="279"/>
      <c r="CW104" s="189"/>
      <c r="CX104" s="189"/>
      <c r="CY104" s="189"/>
      <c r="CZ104" s="189"/>
      <c r="DA104" s="194"/>
      <c r="DB104" s="281"/>
      <c r="DC104" s="279"/>
      <c r="DD104" s="279"/>
      <c r="DE104" s="189"/>
      <c r="DF104" s="189"/>
      <c r="DG104" s="189"/>
      <c r="DH104" s="189"/>
      <c r="DI104" s="194"/>
      <c r="DJ104" s="281"/>
      <c r="DK104" s="279"/>
      <c r="DL104" s="279"/>
      <c r="DM104" s="189"/>
      <c r="DN104" s="189"/>
      <c r="DO104" s="189"/>
      <c r="DP104" s="189"/>
      <c r="DQ104" s="194"/>
      <c r="DR104" s="281"/>
      <c r="DS104" s="279"/>
      <c r="DT104" s="279"/>
      <c r="DU104" s="189"/>
      <c r="DV104" s="189"/>
      <c r="DW104" s="189"/>
      <c r="DX104" s="189"/>
      <c r="DY104" s="194"/>
      <c r="DZ104" s="281"/>
      <c r="EA104" s="279"/>
      <c r="EB104" s="279"/>
      <c r="EC104" s="189"/>
      <c r="ED104" s="189"/>
      <c r="EE104" s="189"/>
      <c r="EF104" s="189"/>
      <c r="EG104" s="194"/>
      <c r="EH104" s="281"/>
      <c r="EI104" s="279"/>
      <c r="EJ104" s="279"/>
      <c r="EK104" s="189"/>
      <c r="EL104" s="189"/>
      <c r="EM104" s="189"/>
      <c r="EN104" s="189"/>
      <c r="EO104" s="194"/>
      <c r="EP104" s="281"/>
      <c r="EQ104" s="279"/>
      <c r="ER104" s="279"/>
      <c r="ES104" s="189"/>
      <c r="ET104" s="189"/>
      <c r="EU104" s="189"/>
      <c r="EV104" s="189"/>
      <c r="EW104" s="194"/>
      <c r="EX104" s="281"/>
      <c r="EY104" s="279"/>
      <c r="EZ104" s="279"/>
      <c r="FA104" s="189"/>
      <c r="FB104" s="189"/>
      <c r="FC104" s="189"/>
      <c r="FD104" s="189"/>
      <c r="FE104" s="194"/>
      <c r="FF104" s="281"/>
      <c r="FG104" s="279"/>
      <c r="FH104" s="279"/>
      <c r="FI104" s="189"/>
      <c r="FJ104" s="189"/>
      <c r="FK104" s="189"/>
      <c r="FL104" s="189"/>
      <c r="FM104" s="194"/>
      <c r="FN104" s="281"/>
      <c r="FO104" s="279"/>
      <c r="FP104" s="279"/>
      <c r="FQ104" s="189"/>
      <c r="FR104" s="189"/>
      <c r="FS104" s="189"/>
      <c r="FT104" s="189"/>
      <c r="FU104" s="194"/>
      <c r="FV104" s="281"/>
      <c r="FW104" s="279"/>
      <c r="FX104" s="279"/>
      <c r="FY104" s="189"/>
      <c r="FZ104" s="189"/>
      <c r="GA104" s="189"/>
      <c r="GB104" s="189"/>
      <c r="GC104" s="194"/>
      <c r="GD104" s="281"/>
      <c r="GE104" s="279"/>
      <c r="GF104" s="279"/>
      <c r="GG104" s="189"/>
      <c r="GH104" s="189"/>
      <c r="GI104" s="189"/>
      <c r="GJ104" s="189"/>
      <c r="GK104" s="194"/>
      <c r="GL104" s="281"/>
      <c r="GM104" s="279"/>
      <c r="GN104" s="279"/>
      <c r="GO104" s="189"/>
      <c r="GP104" s="189"/>
      <c r="GQ104" s="189"/>
      <c r="GR104" s="189"/>
      <c r="GS104" s="194"/>
      <c r="GT104" s="281"/>
      <c r="GU104" s="279"/>
      <c r="GV104" s="279"/>
      <c r="GW104" s="189"/>
      <c r="GX104" s="189"/>
      <c r="GY104" s="189"/>
      <c r="GZ104" s="189"/>
      <c r="HA104" s="194"/>
      <c r="HB104" s="281"/>
      <c r="HC104" s="279"/>
      <c r="HD104" s="279"/>
      <c r="HE104" s="189"/>
      <c r="HF104" s="189"/>
      <c r="HG104" s="189"/>
      <c r="HH104" s="189"/>
      <c r="HI104" s="194"/>
      <c r="HJ104" s="281"/>
      <c r="HK104" s="279"/>
      <c r="HL104" s="279"/>
      <c r="HM104" s="189"/>
      <c r="HN104" s="189"/>
      <c r="HO104" s="189"/>
      <c r="HP104" s="189"/>
      <c r="HQ104" s="194"/>
      <c r="HR104" s="281"/>
      <c r="HS104" s="279"/>
      <c r="HT104" s="279"/>
      <c r="HU104" s="189"/>
      <c r="HV104" s="189"/>
      <c r="HW104" s="189"/>
      <c r="HX104" s="189"/>
      <c r="HY104" s="194"/>
      <c r="HZ104" s="281"/>
      <c r="IA104" s="279"/>
      <c r="IB104" s="279"/>
      <c r="IC104" s="189"/>
      <c r="ID104" s="189"/>
      <c r="IE104" s="189"/>
      <c r="IF104" s="189"/>
      <c r="IG104" s="194"/>
      <c r="IH104" s="281"/>
      <c r="II104" s="279"/>
      <c r="IJ104" s="279"/>
      <c r="IK104" s="189"/>
      <c r="IL104" s="189"/>
      <c r="IM104" s="189"/>
      <c r="IN104" s="189"/>
    </row>
    <row r="105" spans="1:248" s="188" customFormat="1" ht="12.75">
      <c r="A105" s="227"/>
      <c r="B105" s="266" t="s">
        <v>464</v>
      </c>
      <c r="C105" s="290" t="s">
        <v>476</v>
      </c>
      <c r="D105" s="210">
        <v>200</v>
      </c>
      <c r="E105" s="247">
        <v>1</v>
      </c>
      <c r="F105" s="247">
        <v>1</v>
      </c>
      <c r="G105" s="210">
        <v>200</v>
      </c>
      <c r="H105" s="291">
        <f t="shared" si="3"/>
        <v>4686.270972571137</v>
      </c>
      <c r="I105" s="212"/>
      <c r="J105" s="181"/>
      <c r="K105" s="181"/>
      <c r="L105" s="279"/>
      <c r="M105" s="189"/>
      <c r="N105" s="189"/>
      <c r="O105" s="189"/>
      <c r="P105" s="189"/>
      <c r="Q105" s="194"/>
      <c r="R105" s="281"/>
      <c r="S105" s="279"/>
      <c r="T105" s="279"/>
      <c r="U105" s="189"/>
      <c r="V105" s="189"/>
      <c r="W105" s="189"/>
      <c r="X105" s="189"/>
      <c r="Y105" s="194"/>
      <c r="Z105" s="281"/>
      <c r="AA105" s="279"/>
      <c r="AB105" s="279"/>
      <c r="AC105" s="189"/>
      <c r="AD105" s="189"/>
      <c r="AE105" s="189"/>
      <c r="AF105" s="189"/>
      <c r="AG105" s="194"/>
      <c r="AH105" s="281"/>
      <c r="AI105" s="279"/>
      <c r="AJ105" s="279"/>
      <c r="AK105" s="189"/>
      <c r="AL105" s="189"/>
      <c r="AM105" s="189"/>
      <c r="AN105" s="189"/>
      <c r="AO105" s="194"/>
      <c r="AP105" s="281"/>
      <c r="AQ105" s="279"/>
      <c r="AR105" s="279"/>
      <c r="AS105" s="189"/>
      <c r="AT105" s="189"/>
      <c r="AU105" s="189"/>
      <c r="AV105" s="189"/>
      <c r="AW105" s="194"/>
      <c r="AX105" s="281"/>
      <c r="AY105" s="279"/>
      <c r="AZ105" s="279"/>
      <c r="BA105" s="189"/>
      <c r="BB105" s="189"/>
      <c r="BC105" s="189"/>
      <c r="BD105" s="189"/>
      <c r="BE105" s="194"/>
      <c r="BF105" s="281"/>
      <c r="BG105" s="279"/>
      <c r="BH105" s="279"/>
      <c r="BI105" s="189"/>
      <c r="BJ105" s="189"/>
      <c r="BK105" s="189"/>
      <c r="BL105" s="189"/>
      <c r="BM105" s="194"/>
      <c r="BN105" s="281"/>
      <c r="BO105" s="279"/>
      <c r="BP105" s="279"/>
      <c r="BQ105" s="189"/>
      <c r="BR105" s="189"/>
      <c r="BS105" s="189"/>
      <c r="BT105" s="189"/>
      <c r="BU105" s="194"/>
      <c r="BV105" s="281"/>
      <c r="BW105" s="279"/>
      <c r="BX105" s="279"/>
      <c r="BY105" s="189"/>
      <c r="BZ105" s="189"/>
      <c r="CA105" s="189"/>
      <c r="CB105" s="189"/>
      <c r="CC105" s="194"/>
      <c r="CD105" s="281"/>
      <c r="CE105" s="279"/>
      <c r="CF105" s="279"/>
      <c r="CG105" s="189"/>
      <c r="CH105" s="189"/>
      <c r="CI105" s="189"/>
      <c r="CJ105" s="189"/>
      <c r="CK105" s="194"/>
      <c r="CL105" s="281"/>
      <c r="CM105" s="279"/>
      <c r="CN105" s="279"/>
      <c r="CO105" s="189"/>
      <c r="CP105" s="189"/>
      <c r="CQ105" s="189"/>
      <c r="CR105" s="189"/>
      <c r="CS105" s="194"/>
      <c r="CT105" s="281"/>
      <c r="CU105" s="279"/>
      <c r="CV105" s="279"/>
      <c r="CW105" s="189"/>
      <c r="CX105" s="189"/>
      <c r="CY105" s="189"/>
      <c r="CZ105" s="189"/>
      <c r="DA105" s="194"/>
      <c r="DB105" s="281"/>
      <c r="DC105" s="279"/>
      <c r="DD105" s="279"/>
      <c r="DE105" s="189"/>
      <c r="DF105" s="189"/>
      <c r="DG105" s="189"/>
      <c r="DH105" s="189"/>
      <c r="DI105" s="194"/>
      <c r="DJ105" s="281"/>
      <c r="DK105" s="279"/>
      <c r="DL105" s="279"/>
      <c r="DM105" s="189"/>
      <c r="DN105" s="189"/>
      <c r="DO105" s="189"/>
      <c r="DP105" s="189"/>
      <c r="DQ105" s="194"/>
      <c r="DR105" s="281"/>
      <c r="DS105" s="279"/>
      <c r="DT105" s="279"/>
      <c r="DU105" s="189"/>
      <c r="DV105" s="189"/>
      <c r="DW105" s="189"/>
      <c r="DX105" s="189"/>
      <c r="DY105" s="194"/>
      <c r="DZ105" s="281"/>
      <c r="EA105" s="279"/>
      <c r="EB105" s="279"/>
      <c r="EC105" s="189"/>
      <c r="ED105" s="189"/>
      <c r="EE105" s="189"/>
      <c r="EF105" s="189"/>
      <c r="EG105" s="194"/>
      <c r="EH105" s="281"/>
      <c r="EI105" s="279"/>
      <c r="EJ105" s="279"/>
      <c r="EK105" s="189"/>
      <c r="EL105" s="189"/>
      <c r="EM105" s="189"/>
      <c r="EN105" s="189"/>
      <c r="EO105" s="194"/>
      <c r="EP105" s="281"/>
      <c r="EQ105" s="279"/>
      <c r="ER105" s="279"/>
      <c r="ES105" s="189"/>
      <c r="ET105" s="189"/>
      <c r="EU105" s="189"/>
      <c r="EV105" s="189"/>
      <c r="EW105" s="194"/>
      <c r="EX105" s="281"/>
      <c r="EY105" s="279"/>
      <c r="EZ105" s="279"/>
      <c r="FA105" s="189"/>
      <c r="FB105" s="189"/>
      <c r="FC105" s="189"/>
      <c r="FD105" s="189"/>
      <c r="FE105" s="194"/>
      <c r="FF105" s="281"/>
      <c r="FG105" s="279"/>
      <c r="FH105" s="279"/>
      <c r="FI105" s="189"/>
      <c r="FJ105" s="189"/>
      <c r="FK105" s="189"/>
      <c r="FL105" s="189"/>
      <c r="FM105" s="194"/>
      <c r="FN105" s="281"/>
      <c r="FO105" s="279"/>
      <c r="FP105" s="279"/>
      <c r="FQ105" s="189"/>
      <c r="FR105" s="189"/>
      <c r="FS105" s="189"/>
      <c r="FT105" s="189"/>
      <c r="FU105" s="194"/>
      <c r="FV105" s="281"/>
      <c r="FW105" s="279"/>
      <c r="FX105" s="279"/>
      <c r="FY105" s="189"/>
      <c r="FZ105" s="189"/>
      <c r="GA105" s="189"/>
      <c r="GB105" s="189"/>
      <c r="GC105" s="194"/>
      <c r="GD105" s="281"/>
      <c r="GE105" s="279"/>
      <c r="GF105" s="279"/>
      <c r="GG105" s="189"/>
      <c r="GH105" s="189"/>
      <c r="GI105" s="189"/>
      <c r="GJ105" s="189"/>
      <c r="GK105" s="194"/>
      <c r="GL105" s="281"/>
      <c r="GM105" s="279"/>
      <c r="GN105" s="279"/>
      <c r="GO105" s="189"/>
      <c r="GP105" s="189"/>
      <c r="GQ105" s="189"/>
      <c r="GR105" s="189"/>
      <c r="GS105" s="194"/>
      <c r="GT105" s="281"/>
      <c r="GU105" s="279"/>
      <c r="GV105" s="279"/>
      <c r="GW105" s="189"/>
      <c r="GX105" s="189"/>
      <c r="GY105" s="189"/>
      <c r="GZ105" s="189"/>
      <c r="HA105" s="194"/>
      <c r="HB105" s="281"/>
      <c r="HC105" s="279"/>
      <c r="HD105" s="279"/>
      <c r="HE105" s="189"/>
      <c r="HF105" s="189"/>
      <c r="HG105" s="189"/>
      <c r="HH105" s="189"/>
      <c r="HI105" s="194"/>
      <c r="HJ105" s="281"/>
      <c r="HK105" s="279"/>
      <c r="HL105" s="279"/>
      <c r="HM105" s="189"/>
      <c r="HN105" s="189"/>
      <c r="HO105" s="189"/>
      <c r="HP105" s="189"/>
      <c r="HQ105" s="194"/>
      <c r="HR105" s="281"/>
      <c r="HS105" s="279"/>
      <c r="HT105" s="279"/>
      <c r="HU105" s="189"/>
      <c r="HV105" s="189"/>
      <c r="HW105" s="189"/>
      <c r="HX105" s="189"/>
      <c r="HY105" s="194"/>
      <c r="HZ105" s="281"/>
      <c r="IA105" s="279"/>
      <c r="IB105" s="279"/>
      <c r="IC105" s="189"/>
      <c r="ID105" s="189"/>
      <c r="IE105" s="189"/>
      <c r="IF105" s="189"/>
      <c r="IG105" s="194"/>
      <c r="IH105" s="281"/>
      <c r="II105" s="279"/>
      <c r="IJ105" s="279"/>
      <c r="IK105" s="189"/>
      <c r="IL105" s="189"/>
      <c r="IM105" s="189"/>
      <c r="IN105" s="189"/>
    </row>
    <row r="106" spans="1:248" s="188" customFormat="1" ht="25.5">
      <c r="A106" s="227"/>
      <c r="B106" s="249" t="s">
        <v>485</v>
      </c>
      <c r="C106" s="290" t="s">
        <v>476</v>
      </c>
      <c r="D106" s="210">
        <v>150</v>
      </c>
      <c r="E106" s="247">
        <v>1</v>
      </c>
      <c r="F106" s="247">
        <v>1</v>
      </c>
      <c r="G106" s="210">
        <v>150</v>
      </c>
      <c r="H106" s="291">
        <f t="shared" si="3"/>
        <v>3514.703229428352</v>
      </c>
      <c r="I106" s="212"/>
      <c r="J106" s="181"/>
      <c r="K106" s="181"/>
      <c r="L106" s="279"/>
      <c r="M106" s="189"/>
      <c r="N106" s="189"/>
      <c r="O106" s="189"/>
      <c r="P106" s="189"/>
      <c r="Q106" s="194"/>
      <c r="R106" s="281"/>
      <c r="S106" s="279"/>
      <c r="T106" s="279"/>
      <c r="U106" s="189"/>
      <c r="V106" s="189"/>
      <c r="W106" s="189"/>
      <c r="X106" s="189"/>
      <c r="Y106" s="194"/>
      <c r="Z106" s="281"/>
      <c r="AA106" s="279"/>
      <c r="AB106" s="279"/>
      <c r="AC106" s="189"/>
      <c r="AD106" s="189"/>
      <c r="AE106" s="189"/>
      <c r="AF106" s="189"/>
      <c r="AG106" s="194"/>
      <c r="AH106" s="281"/>
      <c r="AI106" s="279"/>
      <c r="AJ106" s="279"/>
      <c r="AK106" s="189"/>
      <c r="AL106" s="189"/>
      <c r="AM106" s="189"/>
      <c r="AN106" s="189"/>
      <c r="AO106" s="194"/>
      <c r="AP106" s="281"/>
      <c r="AQ106" s="279"/>
      <c r="AR106" s="279"/>
      <c r="AS106" s="189"/>
      <c r="AT106" s="189"/>
      <c r="AU106" s="189"/>
      <c r="AV106" s="189"/>
      <c r="AW106" s="194"/>
      <c r="AX106" s="281"/>
      <c r="AY106" s="279"/>
      <c r="AZ106" s="279"/>
      <c r="BA106" s="189"/>
      <c r="BB106" s="189"/>
      <c r="BC106" s="189"/>
      <c r="BD106" s="189"/>
      <c r="BE106" s="194"/>
      <c r="BF106" s="281"/>
      <c r="BG106" s="279"/>
      <c r="BH106" s="279"/>
      <c r="BI106" s="189"/>
      <c r="BJ106" s="189"/>
      <c r="BK106" s="189"/>
      <c r="BL106" s="189"/>
      <c r="BM106" s="194"/>
      <c r="BN106" s="281"/>
      <c r="BO106" s="279"/>
      <c r="BP106" s="279"/>
      <c r="BQ106" s="189"/>
      <c r="BR106" s="189"/>
      <c r="BS106" s="189"/>
      <c r="BT106" s="189"/>
      <c r="BU106" s="194"/>
      <c r="BV106" s="281"/>
      <c r="BW106" s="279"/>
      <c r="BX106" s="279"/>
      <c r="BY106" s="189"/>
      <c r="BZ106" s="189"/>
      <c r="CA106" s="189"/>
      <c r="CB106" s="189"/>
      <c r="CC106" s="194"/>
      <c r="CD106" s="281"/>
      <c r="CE106" s="279"/>
      <c r="CF106" s="279"/>
      <c r="CG106" s="189"/>
      <c r="CH106" s="189"/>
      <c r="CI106" s="189"/>
      <c r="CJ106" s="189"/>
      <c r="CK106" s="194"/>
      <c r="CL106" s="281"/>
      <c r="CM106" s="279"/>
      <c r="CN106" s="279"/>
      <c r="CO106" s="189"/>
      <c r="CP106" s="189"/>
      <c r="CQ106" s="189"/>
      <c r="CR106" s="189"/>
      <c r="CS106" s="194"/>
      <c r="CT106" s="281"/>
      <c r="CU106" s="279"/>
      <c r="CV106" s="279"/>
      <c r="CW106" s="189"/>
      <c r="CX106" s="189"/>
      <c r="CY106" s="189"/>
      <c r="CZ106" s="189"/>
      <c r="DA106" s="194"/>
      <c r="DB106" s="281"/>
      <c r="DC106" s="279"/>
      <c r="DD106" s="279"/>
      <c r="DE106" s="189"/>
      <c r="DF106" s="189"/>
      <c r="DG106" s="189"/>
      <c r="DH106" s="189"/>
      <c r="DI106" s="194"/>
      <c r="DJ106" s="281"/>
      <c r="DK106" s="279"/>
      <c r="DL106" s="279"/>
      <c r="DM106" s="189"/>
      <c r="DN106" s="189"/>
      <c r="DO106" s="189"/>
      <c r="DP106" s="189"/>
      <c r="DQ106" s="194"/>
      <c r="DR106" s="281"/>
      <c r="DS106" s="279"/>
      <c r="DT106" s="279"/>
      <c r="DU106" s="189"/>
      <c r="DV106" s="189"/>
      <c r="DW106" s="189"/>
      <c r="DX106" s="189"/>
      <c r="DY106" s="194"/>
      <c r="DZ106" s="281"/>
      <c r="EA106" s="279"/>
      <c r="EB106" s="279"/>
      <c r="EC106" s="189"/>
      <c r="ED106" s="189"/>
      <c r="EE106" s="189"/>
      <c r="EF106" s="189"/>
      <c r="EG106" s="194"/>
      <c r="EH106" s="281"/>
      <c r="EI106" s="279"/>
      <c r="EJ106" s="279"/>
      <c r="EK106" s="189"/>
      <c r="EL106" s="189"/>
      <c r="EM106" s="189"/>
      <c r="EN106" s="189"/>
      <c r="EO106" s="194"/>
      <c r="EP106" s="281"/>
      <c r="EQ106" s="279"/>
      <c r="ER106" s="279"/>
      <c r="ES106" s="189"/>
      <c r="ET106" s="189"/>
      <c r="EU106" s="189"/>
      <c r="EV106" s="189"/>
      <c r="EW106" s="194"/>
      <c r="EX106" s="281"/>
      <c r="EY106" s="279"/>
      <c r="EZ106" s="279"/>
      <c r="FA106" s="189"/>
      <c r="FB106" s="189"/>
      <c r="FC106" s="189"/>
      <c r="FD106" s="189"/>
      <c r="FE106" s="194"/>
      <c r="FF106" s="281"/>
      <c r="FG106" s="279"/>
      <c r="FH106" s="279"/>
      <c r="FI106" s="189"/>
      <c r="FJ106" s="189"/>
      <c r="FK106" s="189"/>
      <c r="FL106" s="189"/>
      <c r="FM106" s="194"/>
      <c r="FN106" s="281"/>
      <c r="FO106" s="279"/>
      <c r="FP106" s="279"/>
      <c r="FQ106" s="189"/>
      <c r="FR106" s="189"/>
      <c r="FS106" s="189"/>
      <c r="FT106" s="189"/>
      <c r="FU106" s="194"/>
      <c r="FV106" s="281"/>
      <c r="FW106" s="279"/>
      <c r="FX106" s="279"/>
      <c r="FY106" s="189"/>
      <c r="FZ106" s="189"/>
      <c r="GA106" s="189"/>
      <c r="GB106" s="189"/>
      <c r="GC106" s="194"/>
      <c r="GD106" s="281"/>
      <c r="GE106" s="279"/>
      <c r="GF106" s="279"/>
      <c r="GG106" s="189"/>
      <c r="GH106" s="189"/>
      <c r="GI106" s="189"/>
      <c r="GJ106" s="189"/>
      <c r="GK106" s="194"/>
      <c r="GL106" s="281"/>
      <c r="GM106" s="279"/>
      <c r="GN106" s="279"/>
      <c r="GO106" s="189"/>
      <c r="GP106" s="189"/>
      <c r="GQ106" s="189"/>
      <c r="GR106" s="189"/>
      <c r="GS106" s="194"/>
      <c r="GT106" s="281"/>
      <c r="GU106" s="279"/>
      <c r="GV106" s="279"/>
      <c r="GW106" s="189"/>
      <c r="GX106" s="189"/>
      <c r="GY106" s="189"/>
      <c r="GZ106" s="189"/>
      <c r="HA106" s="194"/>
      <c r="HB106" s="281"/>
      <c r="HC106" s="279"/>
      <c r="HD106" s="279"/>
      <c r="HE106" s="189"/>
      <c r="HF106" s="189"/>
      <c r="HG106" s="189"/>
      <c r="HH106" s="189"/>
      <c r="HI106" s="194"/>
      <c r="HJ106" s="281"/>
      <c r="HK106" s="279"/>
      <c r="HL106" s="279"/>
      <c r="HM106" s="189"/>
      <c r="HN106" s="189"/>
      <c r="HO106" s="189"/>
      <c r="HP106" s="189"/>
      <c r="HQ106" s="194"/>
      <c r="HR106" s="281"/>
      <c r="HS106" s="279"/>
      <c r="HT106" s="279"/>
      <c r="HU106" s="189"/>
      <c r="HV106" s="189"/>
      <c r="HW106" s="189"/>
      <c r="HX106" s="189"/>
      <c r="HY106" s="194"/>
      <c r="HZ106" s="281"/>
      <c r="IA106" s="279"/>
      <c r="IB106" s="279"/>
      <c r="IC106" s="189"/>
      <c r="ID106" s="189"/>
      <c r="IE106" s="189"/>
      <c r="IF106" s="189"/>
      <c r="IG106" s="194"/>
      <c r="IH106" s="281"/>
      <c r="II106" s="279"/>
      <c r="IJ106" s="279"/>
      <c r="IK106" s="189"/>
      <c r="IL106" s="189"/>
      <c r="IM106" s="189"/>
      <c r="IN106" s="189"/>
    </row>
    <row r="107" spans="1:248" s="188" customFormat="1" ht="12.75">
      <c r="A107" s="227"/>
      <c r="B107" s="249" t="s">
        <v>568</v>
      </c>
      <c r="C107" s="290" t="s">
        <v>476</v>
      </c>
      <c r="D107" s="210">
        <f>100+32</f>
        <v>132</v>
      </c>
      <c r="E107" s="247">
        <v>1</v>
      </c>
      <c r="F107" s="247">
        <v>1</v>
      </c>
      <c r="G107" s="210">
        <f>100+32</f>
        <v>132</v>
      </c>
      <c r="H107" s="291">
        <f t="shared" si="3"/>
        <v>3092.9388418969497</v>
      </c>
      <c r="I107" s="212"/>
      <c r="J107" s="181"/>
      <c r="K107" s="181"/>
      <c r="L107" s="279"/>
      <c r="M107" s="189"/>
      <c r="N107" s="189"/>
      <c r="O107" s="189"/>
      <c r="P107" s="189"/>
      <c r="Q107" s="194"/>
      <c r="R107" s="281"/>
      <c r="S107" s="279"/>
      <c r="T107" s="279"/>
      <c r="U107" s="189"/>
      <c r="V107" s="189"/>
      <c r="W107" s="189"/>
      <c r="X107" s="189"/>
      <c r="Y107" s="194"/>
      <c r="Z107" s="281"/>
      <c r="AA107" s="279"/>
      <c r="AB107" s="279"/>
      <c r="AC107" s="189"/>
      <c r="AD107" s="189"/>
      <c r="AE107" s="189"/>
      <c r="AF107" s="189"/>
      <c r="AG107" s="194"/>
      <c r="AH107" s="281"/>
      <c r="AI107" s="279"/>
      <c r="AJ107" s="279"/>
      <c r="AK107" s="189"/>
      <c r="AL107" s="189"/>
      <c r="AM107" s="189"/>
      <c r="AN107" s="189"/>
      <c r="AO107" s="194"/>
      <c r="AP107" s="281"/>
      <c r="AQ107" s="279"/>
      <c r="AR107" s="279"/>
      <c r="AS107" s="189"/>
      <c r="AT107" s="189"/>
      <c r="AU107" s="189"/>
      <c r="AV107" s="189"/>
      <c r="AW107" s="194"/>
      <c r="AX107" s="281"/>
      <c r="AY107" s="279"/>
      <c r="AZ107" s="279"/>
      <c r="BA107" s="189"/>
      <c r="BB107" s="189"/>
      <c r="BC107" s="189"/>
      <c r="BD107" s="189"/>
      <c r="BE107" s="194"/>
      <c r="BF107" s="281"/>
      <c r="BG107" s="279"/>
      <c r="BH107" s="279"/>
      <c r="BI107" s="189"/>
      <c r="BJ107" s="189"/>
      <c r="BK107" s="189"/>
      <c r="BL107" s="189"/>
      <c r="BM107" s="194"/>
      <c r="BN107" s="281"/>
      <c r="BO107" s="279"/>
      <c r="BP107" s="279"/>
      <c r="BQ107" s="189"/>
      <c r="BR107" s="189"/>
      <c r="BS107" s="189"/>
      <c r="BT107" s="189"/>
      <c r="BU107" s="194"/>
      <c r="BV107" s="281"/>
      <c r="BW107" s="279"/>
      <c r="BX107" s="279"/>
      <c r="BY107" s="189"/>
      <c r="BZ107" s="189"/>
      <c r="CA107" s="189"/>
      <c r="CB107" s="189"/>
      <c r="CC107" s="194"/>
      <c r="CD107" s="281"/>
      <c r="CE107" s="279"/>
      <c r="CF107" s="279"/>
      <c r="CG107" s="189"/>
      <c r="CH107" s="189"/>
      <c r="CI107" s="189"/>
      <c r="CJ107" s="189"/>
      <c r="CK107" s="194"/>
      <c r="CL107" s="281"/>
      <c r="CM107" s="279"/>
      <c r="CN107" s="279"/>
      <c r="CO107" s="189"/>
      <c r="CP107" s="189"/>
      <c r="CQ107" s="189"/>
      <c r="CR107" s="189"/>
      <c r="CS107" s="194"/>
      <c r="CT107" s="281"/>
      <c r="CU107" s="279"/>
      <c r="CV107" s="279"/>
      <c r="CW107" s="189"/>
      <c r="CX107" s="189"/>
      <c r="CY107" s="189"/>
      <c r="CZ107" s="189"/>
      <c r="DA107" s="194"/>
      <c r="DB107" s="281"/>
      <c r="DC107" s="279"/>
      <c r="DD107" s="279"/>
      <c r="DE107" s="189"/>
      <c r="DF107" s="189"/>
      <c r="DG107" s="189"/>
      <c r="DH107" s="189"/>
      <c r="DI107" s="194"/>
      <c r="DJ107" s="281"/>
      <c r="DK107" s="279"/>
      <c r="DL107" s="279"/>
      <c r="DM107" s="189"/>
      <c r="DN107" s="189"/>
      <c r="DO107" s="189"/>
      <c r="DP107" s="189"/>
      <c r="DQ107" s="194"/>
      <c r="DR107" s="281"/>
      <c r="DS107" s="279"/>
      <c r="DT107" s="279"/>
      <c r="DU107" s="189"/>
      <c r="DV107" s="189"/>
      <c r="DW107" s="189"/>
      <c r="DX107" s="189"/>
      <c r="DY107" s="194"/>
      <c r="DZ107" s="281"/>
      <c r="EA107" s="279"/>
      <c r="EB107" s="279"/>
      <c r="EC107" s="189"/>
      <c r="ED107" s="189"/>
      <c r="EE107" s="189"/>
      <c r="EF107" s="189"/>
      <c r="EG107" s="194"/>
      <c r="EH107" s="281"/>
      <c r="EI107" s="279"/>
      <c r="EJ107" s="279"/>
      <c r="EK107" s="189"/>
      <c r="EL107" s="189"/>
      <c r="EM107" s="189"/>
      <c r="EN107" s="189"/>
      <c r="EO107" s="194"/>
      <c r="EP107" s="281"/>
      <c r="EQ107" s="279"/>
      <c r="ER107" s="279"/>
      <c r="ES107" s="189"/>
      <c r="ET107" s="189"/>
      <c r="EU107" s="189"/>
      <c r="EV107" s="189"/>
      <c r="EW107" s="194"/>
      <c r="EX107" s="281"/>
      <c r="EY107" s="279"/>
      <c r="EZ107" s="279"/>
      <c r="FA107" s="189"/>
      <c r="FB107" s="189"/>
      <c r="FC107" s="189"/>
      <c r="FD107" s="189"/>
      <c r="FE107" s="194"/>
      <c r="FF107" s="281"/>
      <c r="FG107" s="279"/>
      <c r="FH107" s="279"/>
      <c r="FI107" s="189"/>
      <c r="FJ107" s="189"/>
      <c r="FK107" s="189"/>
      <c r="FL107" s="189"/>
      <c r="FM107" s="194"/>
      <c r="FN107" s="281"/>
      <c r="FO107" s="279"/>
      <c r="FP107" s="279"/>
      <c r="FQ107" s="189"/>
      <c r="FR107" s="189"/>
      <c r="FS107" s="189"/>
      <c r="FT107" s="189"/>
      <c r="FU107" s="194"/>
      <c r="FV107" s="281"/>
      <c r="FW107" s="279"/>
      <c r="FX107" s="279"/>
      <c r="FY107" s="189"/>
      <c r="FZ107" s="189"/>
      <c r="GA107" s="189"/>
      <c r="GB107" s="189"/>
      <c r="GC107" s="194"/>
      <c r="GD107" s="281"/>
      <c r="GE107" s="279"/>
      <c r="GF107" s="279"/>
      <c r="GG107" s="189"/>
      <c r="GH107" s="189"/>
      <c r="GI107" s="189"/>
      <c r="GJ107" s="189"/>
      <c r="GK107" s="194"/>
      <c r="GL107" s="281"/>
      <c r="GM107" s="279"/>
      <c r="GN107" s="279"/>
      <c r="GO107" s="189"/>
      <c r="GP107" s="189"/>
      <c r="GQ107" s="189"/>
      <c r="GR107" s="189"/>
      <c r="GS107" s="194"/>
      <c r="GT107" s="281"/>
      <c r="GU107" s="279"/>
      <c r="GV107" s="279"/>
      <c r="GW107" s="189"/>
      <c r="GX107" s="189"/>
      <c r="GY107" s="189"/>
      <c r="GZ107" s="189"/>
      <c r="HA107" s="194"/>
      <c r="HB107" s="281"/>
      <c r="HC107" s="279"/>
      <c r="HD107" s="279"/>
      <c r="HE107" s="189"/>
      <c r="HF107" s="189"/>
      <c r="HG107" s="189"/>
      <c r="HH107" s="189"/>
      <c r="HI107" s="194"/>
      <c r="HJ107" s="281"/>
      <c r="HK107" s="279"/>
      <c r="HL107" s="279"/>
      <c r="HM107" s="189"/>
      <c r="HN107" s="189"/>
      <c r="HO107" s="189"/>
      <c r="HP107" s="189"/>
      <c r="HQ107" s="194"/>
      <c r="HR107" s="281"/>
      <c r="HS107" s="279"/>
      <c r="HT107" s="279"/>
      <c r="HU107" s="189"/>
      <c r="HV107" s="189"/>
      <c r="HW107" s="189"/>
      <c r="HX107" s="189"/>
      <c r="HY107" s="194"/>
      <c r="HZ107" s="281"/>
      <c r="IA107" s="279"/>
      <c r="IB107" s="279"/>
      <c r="IC107" s="189"/>
      <c r="ID107" s="189"/>
      <c r="IE107" s="189"/>
      <c r="IF107" s="189"/>
      <c r="IG107" s="194"/>
      <c r="IH107" s="281"/>
      <c r="II107" s="279"/>
      <c r="IJ107" s="279"/>
      <c r="IK107" s="189"/>
      <c r="IL107" s="189"/>
      <c r="IM107" s="189"/>
      <c r="IN107" s="189"/>
    </row>
    <row r="108" spans="1:248" s="188" customFormat="1" ht="12.75">
      <c r="A108" s="227"/>
      <c r="B108" s="266" t="s">
        <v>450</v>
      </c>
      <c r="C108" s="290" t="s">
        <v>476</v>
      </c>
      <c r="D108" s="210">
        <v>60</v>
      </c>
      <c r="E108" s="247">
        <v>1</v>
      </c>
      <c r="F108" s="247">
        <v>1</v>
      </c>
      <c r="G108" s="210">
        <v>60</v>
      </c>
      <c r="H108" s="291">
        <f t="shared" si="3"/>
        <v>1405.8812917713408</v>
      </c>
      <c r="I108" s="212"/>
      <c r="J108" s="181"/>
      <c r="K108" s="181"/>
      <c r="L108" s="279"/>
      <c r="M108" s="189"/>
      <c r="N108" s="189"/>
      <c r="O108" s="189"/>
      <c r="P108" s="189"/>
      <c r="Q108" s="194"/>
      <c r="R108" s="281"/>
      <c r="S108" s="279"/>
      <c r="T108" s="279"/>
      <c r="U108" s="189"/>
      <c r="V108" s="189"/>
      <c r="W108" s="189"/>
      <c r="X108" s="189"/>
      <c r="Y108" s="194"/>
      <c r="Z108" s="281"/>
      <c r="AA108" s="279"/>
      <c r="AB108" s="279"/>
      <c r="AC108" s="189"/>
      <c r="AD108" s="189"/>
      <c r="AE108" s="189"/>
      <c r="AF108" s="189"/>
      <c r="AG108" s="194"/>
      <c r="AH108" s="281"/>
      <c r="AI108" s="279"/>
      <c r="AJ108" s="279"/>
      <c r="AK108" s="189"/>
      <c r="AL108" s="189"/>
      <c r="AM108" s="189"/>
      <c r="AN108" s="189"/>
      <c r="AO108" s="194"/>
      <c r="AP108" s="281"/>
      <c r="AQ108" s="279"/>
      <c r="AR108" s="279"/>
      <c r="AS108" s="189"/>
      <c r="AT108" s="189"/>
      <c r="AU108" s="189"/>
      <c r="AV108" s="189"/>
      <c r="AW108" s="194"/>
      <c r="AX108" s="281"/>
      <c r="AY108" s="279"/>
      <c r="AZ108" s="279"/>
      <c r="BA108" s="189"/>
      <c r="BB108" s="189"/>
      <c r="BC108" s="189"/>
      <c r="BD108" s="189"/>
      <c r="BE108" s="194"/>
      <c r="BF108" s="281"/>
      <c r="BG108" s="279"/>
      <c r="BH108" s="279"/>
      <c r="BI108" s="189"/>
      <c r="BJ108" s="189"/>
      <c r="BK108" s="189"/>
      <c r="BL108" s="189"/>
      <c r="BM108" s="194"/>
      <c r="BN108" s="281"/>
      <c r="BO108" s="279"/>
      <c r="BP108" s="279"/>
      <c r="BQ108" s="189"/>
      <c r="BR108" s="189"/>
      <c r="BS108" s="189"/>
      <c r="BT108" s="189"/>
      <c r="BU108" s="194"/>
      <c r="BV108" s="281"/>
      <c r="BW108" s="279"/>
      <c r="BX108" s="279"/>
      <c r="BY108" s="189"/>
      <c r="BZ108" s="189"/>
      <c r="CA108" s="189"/>
      <c r="CB108" s="189"/>
      <c r="CC108" s="194"/>
      <c r="CD108" s="281"/>
      <c r="CE108" s="279"/>
      <c r="CF108" s="279"/>
      <c r="CG108" s="189"/>
      <c r="CH108" s="189"/>
      <c r="CI108" s="189"/>
      <c r="CJ108" s="189"/>
      <c r="CK108" s="194"/>
      <c r="CL108" s="281"/>
      <c r="CM108" s="279"/>
      <c r="CN108" s="279"/>
      <c r="CO108" s="189"/>
      <c r="CP108" s="189"/>
      <c r="CQ108" s="189"/>
      <c r="CR108" s="189"/>
      <c r="CS108" s="194"/>
      <c r="CT108" s="281"/>
      <c r="CU108" s="279"/>
      <c r="CV108" s="279"/>
      <c r="CW108" s="189"/>
      <c r="CX108" s="189"/>
      <c r="CY108" s="189"/>
      <c r="CZ108" s="189"/>
      <c r="DA108" s="194"/>
      <c r="DB108" s="281"/>
      <c r="DC108" s="279"/>
      <c r="DD108" s="279"/>
      <c r="DE108" s="189"/>
      <c r="DF108" s="189"/>
      <c r="DG108" s="189"/>
      <c r="DH108" s="189"/>
      <c r="DI108" s="194"/>
      <c r="DJ108" s="281"/>
      <c r="DK108" s="279"/>
      <c r="DL108" s="279"/>
      <c r="DM108" s="189"/>
      <c r="DN108" s="189"/>
      <c r="DO108" s="189"/>
      <c r="DP108" s="189"/>
      <c r="DQ108" s="194"/>
      <c r="DR108" s="281"/>
      <c r="DS108" s="279"/>
      <c r="DT108" s="279"/>
      <c r="DU108" s="189"/>
      <c r="DV108" s="189"/>
      <c r="DW108" s="189"/>
      <c r="DX108" s="189"/>
      <c r="DY108" s="194"/>
      <c r="DZ108" s="281"/>
      <c r="EA108" s="279"/>
      <c r="EB108" s="279"/>
      <c r="EC108" s="189"/>
      <c r="ED108" s="189"/>
      <c r="EE108" s="189"/>
      <c r="EF108" s="189"/>
      <c r="EG108" s="194"/>
      <c r="EH108" s="281"/>
      <c r="EI108" s="279"/>
      <c r="EJ108" s="279"/>
      <c r="EK108" s="189"/>
      <c r="EL108" s="189"/>
      <c r="EM108" s="189"/>
      <c r="EN108" s="189"/>
      <c r="EO108" s="194"/>
      <c r="EP108" s="281"/>
      <c r="EQ108" s="279"/>
      <c r="ER108" s="279"/>
      <c r="ES108" s="189"/>
      <c r="ET108" s="189"/>
      <c r="EU108" s="189"/>
      <c r="EV108" s="189"/>
      <c r="EW108" s="194"/>
      <c r="EX108" s="281"/>
      <c r="EY108" s="279"/>
      <c r="EZ108" s="279"/>
      <c r="FA108" s="189"/>
      <c r="FB108" s="189"/>
      <c r="FC108" s="189"/>
      <c r="FD108" s="189"/>
      <c r="FE108" s="194"/>
      <c r="FF108" s="281"/>
      <c r="FG108" s="279"/>
      <c r="FH108" s="279"/>
      <c r="FI108" s="189"/>
      <c r="FJ108" s="189"/>
      <c r="FK108" s="189"/>
      <c r="FL108" s="189"/>
      <c r="FM108" s="194"/>
      <c r="FN108" s="281"/>
      <c r="FO108" s="279"/>
      <c r="FP108" s="279"/>
      <c r="FQ108" s="189"/>
      <c r="FR108" s="189"/>
      <c r="FS108" s="189"/>
      <c r="FT108" s="189"/>
      <c r="FU108" s="194"/>
      <c r="FV108" s="281"/>
      <c r="FW108" s="279"/>
      <c r="FX108" s="279"/>
      <c r="FY108" s="189"/>
      <c r="FZ108" s="189"/>
      <c r="GA108" s="189"/>
      <c r="GB108" s="189"/>
      <c r="GC108" s="194"/>
      <c r="GD108" s="281"/>
      <c r="GE108" s="279"/>
      <c r="GF108" s="279"/>
      <c r="GG108" s="189"/>
      <c r="GH108" s="189"/>
      <c r="GI108" s="189"/>
      <c r="GJ108" s="189"/>
      <c r="GK108" s="194"/>
      <c r="GL108" s="281"/>
      <c r="GM108" s="279"/>
      <c r="GN108" s="279"/>
      <c r="GO108" s="189"/>
      <c r="GP108" s="189"/>
      <c r="GQ108" s="189"/>
      <c r="GR108" s="189"/>
      <c r="GS108" s="194"/>
      <c r="GT108" s="281"/>
      <c r="GU108" s="279"/>
      <c r="GV108" s="279"/>
      <c r="GW108" s="189"/>
      <c r="GX108" s="189"/>
      <c r="GY108" s="189"/>
      <c r="GZ108" s="189"/>
      <c r="HA108" s="194"/>
      <c r="HB108" s="281"/>
      <c r="HC108" s="279"/>
      <c r="HD108" s="279"/>
      <c r="HE108" s="189"/>
      <c r="HF108" s="189"/>
      <c r="HG108" s="189"/>
      <c r="HH108" s="189"/>
      <c r="HI108" s="194"/>
      <c r="HJ108" s="281"/>
      <c r="HK108" s="279"/>
      <c r="HL108" s="279"/>
      <c r="HM108" s="189"/>
      <c r="HN108" s="189"/>
      <c r="HO108" s="189"/>
      <c r="HP108" s="189"/>
      <c r="HQ108" s="194"/>
      <c r="HR108" s="281"/>
      <c r="HS108" s="279"/>
      <c r="HT108" s="279"/>
      <c r="HU108" s="189"/>
      <c r="HV108" s="189"/>
      <c r="HW108" s="189"/>
      <c r="HX108" s="189"/>
      <c r="HY108" s="194"/>
      <c r="HZ108" s="281"/>
      <c r="IA108" s="279"/>
      <c r="IB108" s="279"/>
      <c r="IC108" s="189"/>
      <c r="ID108" s="189"/>
      <c r="IE108" s="189"/>
      <c r="IF108" s="189"/>
      <c r="IG108" s="194"/>
      <c r="IH108" s="281"/>
      <c r="II108" s="279"/>
      <c r="IJ108" s="279"/>
      <c r="IK108" s="189"/>
      <c r="IL108" s="189"/>
      <c r="IM108" s="189"/>
      <c r="IN108" s="189"/>
    </row>
    <row r="109" spans="1:248" s="188" customFormat="1" ht="12.75">
      <c r="A109" s="227"/>
      <c r="B109" s="266" t="s">
        <v>567</v>
      </c>
      <c r="C109" s="290" t="s">
        <v>476</v>
      </c>
      <c r="D109" s="210">
        <v>60</v>
      </c>
      <c r="E109" s="247">
        <v>1</v>
      </c>
      <c r="F109" s="247">
        <v>1</v>
      </c>
      <c r="G109" s="210">
        <v>60</v>
      </c>
      <c r="H109" s="291">
        <f t="shared" si="3"/>
        <v>1405.8812917713408</v>
      </c>
      <c r="I109" s="212"/>
      <c r="J109" s="181"/>
      <c r="K109" s="181"/>
      <c r="L109" s="279"/>
      <c r="M109" s="189"/>
      <c r="N109" s="189"/>
      <c r="O109" s="189"/>
      <c r="P109" s="189"/>
      <c r="Q109" s="194"/>
      <c r="R109" s="281"/>
      <c r="S109" s="279"/>
      <c r="T109" s="279"/>
      <c r="U109" s="189"/>
      <c r="V109" s="189"/>
      <c r="W109" s="189"/>
      <c r="X109" s="189"/>
      <c r="Y109" s="194"/>
      <c r="Z109" s="281"/>
      <c r="AA109" s="279"/>
      <c r="AB109" s="279"/>
      <c r="AC109" s="189"/>
      <c r="AD109" s="189"/>
      <c r="AE109" s="189"/>
      <c r="AF109" s="189"/>
      <c r="AG109" s="194"/>
      <c r="AH109" s="281"/>
      <c r="AI109" s="279"/>
      <c r="AJ109" s="279"/>
      <c r="AK109" s="189"/>
      <c r="AL109" s="189"/>
      <c r="AM109" s="189"/>
      <c r="AN109" s="189"/>
      <c r="AO109" s="194"/>
      <c r="AP109" s="281"/>
      <c r="AQ109" s="279"/>
      <c r="AR109" s="279"/>
      <c r="AS109" s="189"/>
      <c r="AT109" s="189"/>
      <c r="AU109" s="189"/>
      <c r="AV109" s="189"/>
      <c r="AW109" s="194"/>
      <c r="AX109" s="281"/>
      <c r="AY109" s="279"/>
      <c r="AZ109" s="279"/>
      <c r="BA109" s="189"/>
      <c r="BB109" s="189"/>
      <c r="BC109" s="189"/>
      <c r="BD109" s="189"/>
      <c r="BE109" s="194"/>
      <c r="BF109" s="281"/>
      <c r="BG109" s="279"/>
      <c r="BH109" s="279"/>
      <c r="BI109" s="189"/>
      <c r="BJ109" s="189"/>
      <c r="BK109" s="189"/>
      <c r="BL109" s="189"/>
      <c r="BM109" s="194"/>
      <c r="BN109" s="281"/>
      <c r="BO109" s="279"/>
      <c r="BP109" s="279"/>
      <c r="BQ109" s="189"/>
      <c r="BR109" s="189"/>
      <c r="BS109" s="189"/>
      <c r="BT109" s="189"/>
      <c r="BU109" s="194"/>
      <c r="BV109" s="281"/>
      <c r="BW109" s="279"/>
      <c r="BX109" s="279"/>
      <c r="BY109" s="189"/>
      <c r="BZ109" s="189"/>
      <c r="CA109" s="189"/>
      <c r="CB109" s="189"/>
      <c r="CC109" s="194"/>
      <c r="CD109" s="281"/>
      <c r="CE109" s="279"/>
      <c r="CF109" s="279"/>
      <c r="CG109" s="189"/>
      <c r="CH109" s="189"/>
      <c r="CI109" s="189"/>
      <c r="CJ109" s="189"/>
      <c r="CK109" s="194"/>
      <c r="CL109" s="281"/>
      <c r="CM109" s="279"/>
      <c r="CN109" s="279"/>
      <c r="CO109" s="189"/>
      <c r="CP109" s="189"/>
      <c r="CQ109" s="189"/>
      <c r="CR109" s="189"/>
      <c r="CS109" s="194"/>
      <c r="CT109" s="281"/>
      <c r="CU109" s="279"/>
      <c r="CV109" s="279"/>
      <c r="CW109" s="189"/>
      <c r="CX109" s="189"/>
      <c r="CY109" s="189"/>
      <c r="CZ109" s="189"/>
      <c r="DA109" s="194"/>
      <c r="DB109" s="281"/>
      <c r="DC109" s="279"/>
      <c r="DD109" s="279"/>
      <c r="DE109" s="189"/>
      <c r="DF109" s="189"/>
      <c r="DG109" s="189"/>
      <c r="DH109" s="189"/>
      <c r="DI109" s="194"/>
      <c r="DJ109" s="281"/>
      <c r="DK109" s="279"/>
      <c r="DL109" s="279"/>
      <c r="DM109" s="189"/>
      <c r="DN109" s="189"/>
      <c r="DO109" s="189"/>
      <c r="DP109" s="189"/>
      <c r="DQ109" s="194"/>
      <c r="DR109" s="281"/>
      <c r="DS109" s="279"/>
      <c r="DT109" s="279"/>
      <c r="DU109" s="189"/>
      <c r="DV109" s="189"/>
      <c r="DW109" s="189"/>
      <c r="DX109" s="189"/>
      <c r="DY109" s="194"/>
      <c r="DZ109" s="281"/>
      <c r="EA109" s="279"/>
      <c r="EB109" s="279"/>
      <c r="EC109" s="189"/>
      <c r="ED109" s="189"/>
      <c r="EE109" s="189"/>
      <c r="EF109" s="189"/>
      <c r="EG109" s="194"/>
      <c r="EH109" s="281"/>
      <c r="EI109" s="279"/>
      <c r="EJ109" s="279"/>
      <c r="EK109" s="189"/>
      <c r="EL109" s="189"/>
      <c r="EM109" s="189"/>
      <c r="EN109" s="189"/>
      <c r="EO109" s="194"/>
      <c r="EP109" s="281"/>
      <c r="EQ109" s="279"/>
      <c r="ER109" s="279"/>
      <c r="ES109" s="189"/>
      <c r="ET109" s="189"/>
      <c r="EU109" s="189"/>
      <c r="EV109" s="189"/>
      <c r="EW109" s="194"/>
      <c r="EX109" s="281"/>
      <c r="EY109" s="279"/>
      <c r="EZ109" s="279"/>
      <c r="FA109" s="189"/>
      <c r="FB109" s="189"/>
      <c r="FC109" s="189"/>
      <c r="FD109" s="189"/>
      <c r="FE109" s="194"/>
      <c r="FF109" s="281"/>
      <c r="FG109" s="279"/>
      <c r="FH109" s="279"/>
      <c r="FI109" s="189"/>
      <c r="FJ109" s="189"/>
      <c r="FK109" s="189"/>
      <c r="FL109" s="189"/>
      <c r="FM109" s="194"/>
      <c r="FN109" s="281"/>
      <c r="FO109" s="279"/>
      <c r="FP109" s="279"/>
      <c r="FQ109" s="189"/>
      <c r="FR109" s="189"/>
      <c r="FS109" s="189"/>
      <c r="FT109" s="189"/>
      <c r="FU109" s="194"/>
      <c r="FV109" s="281"/>
      <c r="FW109" s="279"/>
      <c r="FX109" s="279"/>
      <c r="FY109" s="189"/>
      <c r="FZ109" s="189"/>
      <c r="GA109" s="189"/>
      <c r="GB109" s="189"/>
      <c r="GC109" s="194"/>
      <c r="GD109" s="281"/>
      <c r="GE109" s="279"/>
      <c r="GF109" s="279"/>
      <c r="GG109" s="189"/>
      <c r="GH109" s="189"/>
      <c r="GI109" s="189"/>
      <c r="GJ109" s="189"/>
      <c r="GK109" s="194"/>
      <c r="GL109" s="281"/>
      <c r="GM109" s="279"/>
      <c r="GN109" s="279"/>
      <c r="GO109" s="189"/>
      <c r="GP109" s="189"/>
      <c r="GQ109" s="189"/>
      <c r="GR109" s="189"/>
      <c r="GS109" s="194"/>
      <c r="GT109" s="281"/>
      <c r="GU109" s="279"/>
      <c r="GV109" s="279"/>
      <c r="GW109" s="189"/>
      <c r="GX109" s="189"/>
      <c r="GY109" s="189"/>
      <c r="GZ109" s="189"/>
      <c r="HA109" s="194"/>
      <c r="HB109" s="281"/>
      <c r="HC109" s="279"/>
      <c r="HD109" s="279"/>
      <c r="HE109" s="189"/>
      <c r="HF109" s="189"/>
      <c r="HG109" s="189"/>
      <c r="HH109" s="189"/>
      <c r="HI109" s="194"/>
      <c r="HJ109" s="281"/>
      <c r="HK109" s="279"/>
      <c r="HL109" s="279"/>
      <c r="HM109" s="189"/>
      <c r="HN109" s="189"/>
      <c r="HO109" s="189"/>
      <c r="HP109" s="189"/>
      <c r="HQ109" s="194"/>
      <c r="HR109" s="281"/>
      <c r="HS109" s="279"/>
      <c r="HT109" s="279"/>
      <c r="HU109" s="189"/>
      <c r="HV109" s="189"/>
      <c r="HW109" s="189"/>
      <c r="HX109" s="189"/>
      <c r="HY109" s="194"/>
      <c r="HZ109" s="281"/>
      <c r="IA109" s="279"/>
      <c r="IB109" s="279"/>
      <c r="IC109" s="189"/>
      <c r="ID109" s="189"/>
      <c r="IE109" s="189"/>
      <c r="IF109" s="189"/>
      <c r="IG109" s="194"/>
      <c r="IH109" s="281"/>
      <c r="II109" s="279"/>
      <c r="IJ109" s="279"/>
      <c r="IK109" s="189"/>
      <c r="IL109" s="189"/>
      <c r="IM109" s="189"/>
      <c r="IN109" s="189"/>
    </row>
    <row r="110" spans="1:248" s="188" customFormat="1" ht="12.75">
      <c r="A110" s="227"/>
      <c r="B110" s="266" t="s">
        <v>569</v>
      </c>
      <c r="C110" s="290" t="s">
        <v>476</v>
      </c>
      <c r="D110" s="210">
        <v>150</v>
      </c>
      <c r="E110" s="247">
        <v>1</v>
      </c>
      <c r="F110" s="247">
        <v>1</v>
      </c>
      <c r="G110" s="210">
        <v>150</v>
      </c>
      <c r="H110" s="291">
        <f t="shared" si="3"/>
        <v>3514.703229428352</v>
      </c>
      <c r="I110" s="212"/>
      <c r="J110" s="181"/>
      <c r="K110" s="181"/>
      <c r="L110" s="279"/>
      <c r="M110" s="189"/>
      <c r="N110" s="189"/>
      <c r="O110" s="189"/>
      <c r="P110" s="189"/>
      <c r="Q110" s="194"/>
      <c r="R110" s="281"/>
      <c r="S110" s="279"/>
      <c r="T110" s="279"/>
      <c r="U110" s="189"/>
      <c r="V110" s="189"/>
      <c r="W110" s="189"/>
      <c r="X110" s="189"/>
      <c r="Y110" s="194"/>
      <c r="Z110" s="281"/>
      <c r="AA110" s="279"/>
      <c r="AB110" s="279"/>
      <c r="AC110" s="189"/>
      <c r="AD110" s="189"/>
      <c r="AE110" s="189"/>
      <c r="AF110" s="189"/>
      <c r="AG110" s="194"/>
      <c r="AH110" s="281"/>
      <c r="AI110" s="279"/>
      <c r="AJ110" s="279"/>
      <c r="AK110" s="189"/>
      <c r="AL110" s="189"/>
      <c r="AM110" s="189"/>
      <c r="AN110" s="189"/>
      <c r="AO110" s="194"/>
      <c r="AP110" s="281"/>
      <c r="AQ110" s="279"/>
      <c r="AR110" s="279"/>
      <c r="AS110" s="189"/>
      <c r="AT110" s="189"/>
      <c r="AU110" s="189"/>
      <c r="AV110" s="189"/>
      <c r="AW110" s="194"/>
      <c r="AX110" s="281"/>
      <c r="AY110" s="279"/>
      <c r="AZ110" s="279"/>
      <c r="BA110" s="189"/>
      <c r="BB110" s="189"/>
      <c r="BC110" s="189"/>
      <c r="BD110" s="189"/>
      <c r="BE110" s="194"/>
      <c r="BF110" s="281"/>
      <c r="BG110" s="279"/>
      <c r="BH110" s="279"/>
      <c r="BI110" s="189"/>
      <c r="BJ110" s="189"/>
      <c r="BK110" s="189"/>
      <c r="BL110" s="189"/>
      <c r="BM110" s="194"/>
      <c r="BN110" s="281"/>
      <c r="BO110" s="279"/>
      <c r="BP110" s="279"/>
      <c r="BQ110" s="189"/>
      <c r="BR110" s="189"/>
      <c r="BS110" s="189"/>
      <c r="BT110" s="189"/>
      <c r="BU110" s="194"/>
      <c r="BV110" s="281"/>
      <c r="BW110" s="279"/>
      <c r="BX110" s="279"/>
      <c r="BY110" s="189"/>
      <c r="BZ110" s="189"/>
      <c r="CA110" s="189"/>
      <c r="CB110" s="189"/>
      <c r="CC110" s="194"/>
      <c r="CD110" s="281"/>
      <c r="CE110" s="279"/>
      <c r="CF110" s="279"/>
      <c r="CG110" s="189"/>
      <c r="CH110" s="189"/>
      <c r="CI110" s="189"/>
      <c r="CJ110" s="189"/>
      <c r="CK110" s="194"/>
      <c r="CL110" s="281"/>
      <c r="CM110" s="279"/>
      <c r="CN110" s="279"/>
      <c r="CO110" s="189"/>
      <c r="CP110" s="189"/>
      <c r="CQ110" s="189"/>
      <c r="CR110" s="189"/>
      <c r="CS110" s="194"/>
      <c r="CT110" s="281"/>
      <c r="CU110" s="279"/>
      <c r="CV110" s="279"/>
      <c r="CW110" s="189"/>
      <c r="CX110" s="189"/>
      <c r="CY110" s="189"/>
      <c r="CZ110" s="189"/>
      <c r="DA110" s="194"/>
      <c r="DB110" s="281"/>
      <c r="DC110" s="279"/>
      <c r="DD110" s="279"/>
      <c r="DE110" s="189"/>
      <c r="DF110" s="189"/>
      <c r="DG110" s="189"/>
      <c r="DH110" s="189"/>
      <c r="DI110" s="194"/>
      <c r="DJ110" s="281"/>
      <c r="DK110" s="279"/>
      <c r="DL110" s="279"/>
      <c r="DM110" s="189"/>
      <c r="DN110" s="189"/>
      <c r="DO110" s="189"/>
      <c r="DP110" s="189"/>
      <c r="DQ110" s="194"/>
      <c r="DR110" s="281"/>
      <c r="DS110" s="279"/>
      <c r="DT110" s="279"/>
      <c r="DU110" s="189"/>
      <c r="DV110" s="189"/>
      <c r="DW110" s="189"/>
      <c r="DX110" s="189"/>
      <c r="DY110" s="194"/>
      <c r="DZ110" s="281"/>
      <c r="EA110" s="279"/>
      <c r="EB110" s="279"/>
      <c r="EC110" s="189"/>
      <c r="ED110" s="189"/>
      <c r="EE110" s="189"/>
      <c r="EF110" s="189"/>
      <c r="EG110" s="194"/>
      <c r="EH110" s="281"/>
      <c r="EI110" s="279"/>
      <c r="EJ110" s="279"/>
      <c r="EK110" s="189"/>
      <c r="EL110" s="189"/>
      <c r="EM110" s="189"/>
      <c r="EN110" s="189"/>
      <c r="EO110" s="194"/>
      <c r="EP110" s="281"/>
      <c r="EQ110" s="279"/>
      <c r="ER110" s="279"/>
      <c r="ES110" s="189"/>
      <c r="ET110" s="189"/>
      <c r="EU110" s="189"/>
      <c r="EV110" s="189"/>
      <c r="EW110" s="194"/>
      <c r="EX110" s="281"/>
      <c r="EY110" s="279"/>
      <c r="EZ110" s="279"/>
      <c r="FA110" s="189"/>
      <c r="FB110" s="189"/>
      <c r="FC110" s="189"/>
      <c r="FD110" s="189"/>
      <c r="FE110" s="194"/>
      <c r="FF110" s="281"/>
      <c r="FG110" s="279"/>
      <c r="FH110" s="279"/>
      <c r="FI110" s="189"/>
      <c r="FJ110" s="189"/>
      <c r="FK110" s="189"/>
      <c r="FL110" s="189"/>
      <c r="FM110" s="194"/>
      <c r="FN110" s="281"/>
      <c r="FO110" s="279"/>
      <c r="FP110" s="279"/>
      <c r="FQ110" s="189"/>
      <c r="FR110" s="189"/>
      <c r="FS110" s="189"/>
      <c r="FT110" s="189"/>
      <c r="FU110" s="194"/>
      <c r="FV110" s="281"/>
      <c r="FW110" s="279"/>
      <c r="FX110" s="279"/>
      <c r="FY110" s="189"/>
      <c r="FZ110" s="189"/>
      <c r="GA110" s="189"/>
      <c r="GB110" s="189"/>
      <c r="GC110" s="194"/>
      <c r="GD110" s="281"/>
      <c r="GE110" s="279"/>
      <c r="GF110" s="279"/>
      <c r="GG110" s="189"/>
      <c r="GH110" s="189"/>
      <c r="GI110" s="189"/>
      <c r="GJ110" s="189"/>
      <c r="GK110" s="194"/>
      <c r="GL110" s="281"/>
      <c r="GM110" s="279"/>
      <c r="GN110" s="279"/>
      <c r="GO110" s="189"/>
      <c r="GP110" s="189"/>
      <c r="GQ110" s="189"/>
      <c r="GR110" s="189"/>
      <c r="GS110" s="194"/>
      <c r="GT110" s="281"/>
      <c r="GU110" s="279"/>
      <c r="GV110" s="279"/>
      <c r="GW110" s="189"/>
      <c r="GX110" s="189"/>
      <c r="GY110" s="189"/>
      <c r="GZ110" s="189"/>
      <c r="HA110" s="194"/>
      <c r="HB110" s="281"/>
      <c r="HC110" s="279"/>
      <c r="HD110" s="279"/>
      <c r="HE110" s="189"/>
      <c r="HF110" s="189"/>
      <c r="HG110" s="189"/>
      <c r="HH110" s="189"/>
      <c r="HI110" s="194"/>
      <c r="HJ110" s="281"/>
      <c r="HK110" s="279"/>
      <c r="HL110" s="279"/>
      <c r="HM110" s="189"/>
      <c r="HN110" s="189"/>
      <c r="HO110" s="189"/>
      <c r="HP110" s="189"/>
      <c r="HQ110" s="194"/>
      <c r="HR110" s="281"/>
      <c r="HS110" s="279"/>
      <c r="HT110" s="279"/>
      <c r="HU110" s="189"/>
      <c r="HV110" s="189"/>
      <c r="HW110" s="189"/>
      <c r="HX110" s="189"/>
      <c r="HY110" s="194"/>
      <c r="HZ110" s="281"/>
      <c r="IA110" s="279"/>
      <c r="IB110" s="279"/>
      <c r="IC110" s="189"/>
      <c r="ID110" s="189"/>
      <c r="IE110" s="189"/>
      <c r="IF110" s="189"/>
      <c r="IG110" s="194"/>
      <c r="IH110" s="281"/>
      <c r="II110" s="279"/>
      <c r="IJ110" s="279"/>
      <c r="IK110" s="189"/>
      <c r="IL110" s="189"/>
      <c r="IM110" s="189"/>
      <c r="IN110" s="189"/>
    </row>
    <row r="111" spans="1:248" s="188" customFormat="1" ht="12.75">
      <c r="A111" s="227"/>
      <c r="B111" s="266" t="s">
        <v>459</v>
      </c>
      <c r="C111" s="290" t="s">
        <v>476</v>
      </c>
      <c r="D111" s="210">
        <v>80</v>
      </c>
      <c r="E111" s="247">
        <v>1</v>
      </c>
      <c r="F111" s="247">
        <v>1</v>
      </c>
      <c r="G111" s="210">
        <v>80</v>
      </c>
      <c r="H111" s="291">
        <f t="shared" si="3"/>
        <v>1874.5083890284545</v>
      </c>
      <c r="I111" s="212"/>
      <c r="J111" s="181"/>
      <c r="K111" s="181"/>
      <c r="L111" s="279"/>
      <c r="M111" s="189"/>
      <c r="N111" s="189"/>
      <c r="O111" s="189"/>
      <c r="P111" s="189"/>
      <c r="Q111" s="194"/>
      <c r="R111" s="281"/>
      <c r="S111" s="279"/>
      <c r="T111" s="279"/>
      <c r="U111" s="189"/>
      <c r="V111" s="189"/>
      <c r="W111" s="189"/>
      <c r="X111" s="189"/>
      <c r="Y111" s="194"/>
      <c r="Z111" s="281"/>
      <c r="AA111" s="279"/>
      <c r="AB111" s="279"/>
      <c r="AC111" s="189"/>
      <c r="AD111" s="189"/>
      <c r="AE111" s="189"/>
      <c r="AF111" s="189"/>
      <c r="AG111" s="194"/>
      <c r="AH111" s="281"/>
      <c r="AI111" s="279"/>
      <c r="AJ111" s="279"/>
      <c r="AK111" s="189"/>
      <c r="AL111" s="189"/>
      <c r="AM111" s="189"/>
      <c r="AN111" s="189"/>
      <c r="AO111" s="194"/>
      <c r="AP111" s="281"/>
      <c r="AQ111" s="279"/>
      <c r="AR111" s="279"/>
      <c r="AS111" s="189"/>
      <c r="AT111" s="189"/>
      <c r="AU111" s="189"/>
      <c r="AV111" s="189"/>
      <c r="AW111" s="194"/>
      <c r="AX111" s="281"/>
      <c r="AY111" s="279"/>
      <c r="AZ111" s="279"/>
      <c r="BA111" s="189"/>
      <c r="BB111" s="189"/>
      <c r="BC111" s="189"/>
      <c r="BD111" s="189"/>
      <c r="BE111" s="194"/>
      <c r="BF111" s="281"/>
      <c r="BG111" s="279"/>
      <c r="BH111" s="279"/>
      <c r="BI111" s="189"/>
      <c r="BJ111" s="189"/>
      <c r="BK111" s="189"/>
      <c r="BL111" s="189"/>
      <c r="BM111" s="194"/>
      <c r="BN111" s="281"/>
      <c r="BO111" s="279"/>
      <c r="BP111" s="279"/>
      <c r="BQ111" s="189"/>
      <c r="BR111" s="189"/>
      <c r="BS111" s="189"/>
      <c r="BT111" s="189"/>
      <c r="BU111" s="194"/>
      <c r="BV111" s="281"/>
      <c r="BW111" s="279"/>
      <c r="BX111" s="279"/>
      <c r="BY111" s="189"/>
      <c r="BZ111" s="189"/>
      <c r="CA111" s="189"/>
      <c r="CB111" s="189"/>
      <c r="CC111" s="194"/>
      <c r="CD111" s="281"/>
      <c r="CE111" s="279"/>
      <c r="CF111" s="279"/>
      <c r="CG111" s="189"/>
      <c r="CH111" s="189"/>
      <c r="CI111" s="189"/>
      <c r="CJ111" s="189"/>
      <c r="CK111" s="194"/>
      <c r="CL111" s="281"/>
      <c r="CM111" s="279"/>
      <c r="CN111" s="279"/>
      <c r="CO111" s="189"/>
      <c r="CP111" s="189"/>
      <c r="CQ111" s="189"/>
      <c r="CR111" s="189"/>
      <c r="CS111" s="194"/>
      <c r="CT111" s="281"/>
      <c r="CU111" s="279"/>
      <c r="CV111" s="279"/>
      <c r="CW111" s="189"/>
      <c r="CX111" s="189"/>
      <c r="CY111" s="189"/>
      <c r="CZ111" s="189"/>
      <c r="DA111" s="194"/>
      <c r="DB111" s="281"/>
      <c r="DC111" s="279"/>
      <c r="DD111" s="279"/>
      <c r="DE111" s="189"/>
      <c r="DF111" s="189"/>
      <c r="DG111" s="189"/>
      <c r="DH111" s="189"/>
      <c r="DI111" s="194"/>
      <c r="DJ111" s="281"/>
      <c r="DK111" s="279"/>
      <c r="DL111" s="279"/>
      <c r="DM111" s="189"/>
      <c r="DN111" s="189"/>
      <c r="DO111" s="189"/>
      <c r="DP111" s="189"/>
      <c r="DQ111" s="194"/>
      <c r="DR111" s="281"/>
      <c r="DS111" s="279"/>
      <c r="DT111" s="279"/>
      <c r="DU111" s="189"/>
      <c r="DV111" s="189"/>
      <c r="DW111" s="189"/>
      <c r="DX111" s="189"/>
      <c r="DY111" s="194"/>
      <c r="DZ111" s="281"/>
      <c r="EA111" s="279"/>
      <c r="EB111" s="279"/>
      <c r="EC111" s="189"/>
      <c r="ED111" s="189"/>
      <c r="EE111" s="189"/>
      <c r="EF111" s="189"/>
      <c r="EG111" s="194"/>
      <c r="EH111" s="281"/>
      <c r="EI111" s="279"/>
      <c r="EJ111" s="279"/>
      <c r="EK111" s="189"/>
      <c r="EL111" s="189"/>
      <c r="EM111" s="189"/>
      <c r="EN111" s="189"/>
      <c r="EO111" s="194"/>
      <c r="EP111" s="281"/>
      <c r="EQ111" s="279"/>
      <c r="ER111" s="279"/>
      <c r="ES111" s="189"/>
      <c r="ET111" s="189"/>
      <c r="EU111" s="189"/>
      <c r="EV111" s="189"/>
      <c r="EW111" s="194"/>
      <c r="EX111" s="281"/>
      <c r="EY111" s="279"/>
      <c r="EZ111" s="279"/>
      <c r="FA111" s="189"/>
      <c r="FB111" s="189"/>
      <c r="FC111" s="189"/>
      <c r="FD111" s="189"/>
      <c r="FE111" s="194"/>
      <c r="FF111" s="281"/>
      <c r="FG111" s="279"/>
      <c r="FH111" s="279"/>
      <c r="FI111" s="189"/>
      <c r="FJ111" s="189"/>
      <c r="FK111" s="189"/>
      <c r="FL111" s="189"/>
      <c r="FM111" s="194"/>
      <c r="FN111" s="281"/>
      <c r="FO111" s="279"/>
      <c r="FP111" s="279"/>
      <c r="FQ111" s="189"/>
      <c r="FR111" s="189"/>
      <c r="FS111" s="189"/>
      <c r="FT111" s="189"/>
      <c r="FU111" s="194"/>
      <c r="FV111" s="281"/>
      <c r="FW111" s="279"/>
      <c r="FX111" s="279"/>
      <c r="FY111" s="189"/>
      <c r="FZ111" s="189"/>
      <c r="GA111" s="189"/>
      <c r="GB111" s="189"/>
      <c r="GC111" s="194"/>
      <c r="GD111" s="281"/>
      <c r="GE111" s="279"/>
      <c r="GF111" s="279"/>
      <c r="GG111" s="189"/>
      <c r="GH111" s="189"/>
      <c r="GI111" s="189"/>
      <c r="GJ111" s="189"/>
      <c r="GK111" s="194"/>
      <c r="GL111" s="281"/>
      <c r="GM111" s="279"/>
      <c r="GN111" s="279"/>
      <c r="GO111" s="189"/>
      <c r="GP111" s="189"/>
      <c r="GQ111" s="189"/>
      <c r="GR111" s="189"/>
      <c r="GS111" s="194"/>
      <c r="GT111" s="281"/>
      <c r="GU111" s="279"/>
      <c r="GV111" s="279"/>
      <c r="GW111" s="189"/>
      <c r="GX111" s="189"/>
      <c r="GY111" s="189"/>
      <c r="GZ111" s="189"/>
      <c r="HA111" s="194"/>
      <c r="HB111" s="281"/>
      <c r="HC111" s="279"/>
      <c r="HD111" s="279"/>
      <c r="HE111" s="189"/>
      <c r="HF111" s="189"/>
      <c r="HG111" s="189"/>
      <c r="HH111" s="189"/>
      <c r="HI111" s="194"/>
      <c r="HJ111" s="281"/>
      <c r="HK111" s="279"/>
      <c r="HL111" s="279"/>
      <c r="HM111" s="189"/>
      <c r="HN111" s="189"/>
      <c r="HO111" s="189"/>
      <c r="HP111" s="189"/>
      <c r="HQ111" s="194"/>
      <c r="HR111" s="281"/>
      <c r="HS111" s="279"/>
      <c r="HT111" s="279"/>
      <c r="HU111" s="189"/>
      <c r="HV111" s="189"/>
      <c r="HW111" s="189"/>
      <c r="HX111" s="189"/>
      <c r="HY111" s="194"/>
      <c r="HZ111" s="281"/>
      <c r="IA111" s="279"/>
      <c r="IB111" s="279"/>
      <c r="IC111" s="189"/>
      <c r="ID111" s="189"/>
      <c r="IE111" s="189"/>
      <c r="IF111" s="189"/>
      <c r="IG111" s="194"/>
      <c r="IH111" s="281"/>
      <c r="II111" s="279"/>
      <c r="IJ111" s="279"/>
      <c r="IK111" s="189"/>
      <c r="IL111" s="189"/>
      <c r="IM111" s="189"/>
      <c r="IN111" s="189"/>
    </row>
    <row r="112" spans="1:248" s="188" customFormat="1" ht="12.75">
      <c r="A112" s="227"/>
      <c r="B112" s="266" t="s">
        <v>572</v>
      </c>
      <c r="C112" s="290" t="s">
        <v>476</v>
      </c>
      <c r="D112" s="210">
        <v>70</v>
      </c>
      <c r="E112" s="247"/>
      <c r="F112" s="247"/>
      <c r="G112" s="210">
        <v>70</v>
      </c>
      <c r="H112" s="291">
        <f t="shared" si="3"/>
        <v>1640.1948403998977</v>
      </c>
      <c r="I112" s="212"/>
      <c r="J112" s="181"/>
      <c r="K112" s="181"/>
      <c r="L112" s="279"/>
      <c r="M112" s="189"/>
      <c r="N112" s="189"/>
      <c r="O112" s="189"/>
      <c r="P112" s="189"/>
      <c r="Q112" s="194"/>
      <c r="R112" s="281"/>
      <c r="S112" s="279"/>
      <c r="T112" s="279"/>
      <c r="U112" s="189"/>
      <c r="V112" s="189"/>
      <c r="W112" s="189"/>
      <c r="X112" s="189"/>
      <c r="Y112" s="194"/>
      <c r="Z112" s="281"/>
      <c r="AA112" s="279"/>
      <c r="AB112" s="279"/>
      <c r="AC112" s="189"/>
      <c r="AD112" s="189"/>
      <c r="AE112" s="189"/>
      <c r="AF112" s="189"/>
      <c r="AG112" s="194"/>
      <c r="AH112" s="281"/>
      <c r="AI112" s="279"/>
      <c r="AJ112" s="279"/>
      <c r="AK112" s="189"/>
      <c r="AL112" s="189"/>
      <c r="AM112" s="189"/>
      <c r="AN112" s="189"/>
      <c r="AO112" s="194"/>
      <c r="AP112" s="281"/>
      <c r="AQ112" s="279"/>
      <c r="AR112" s="279"/>
      <c r="AS112" s="189"/>
      <c r="AT112" s="189"/>
      <c r="AU112" s="189"/>
      <c r="AV112" s="189"/>
      <c r="AW112" s="194"/>
      <c r="AX112" s="281"/>
      <c r="AY112" s="279"/>
      <c r="AZ112" s="279"/>
      <c r="BA112" s="189"/>
      <c r="BB112" s="189"/>
      <c r="BC112" s="189"/>
      <c r="BD112" s="189"/>
      <c r="BE112" s="194"/>
      <c r="BF112" s="281"/>
      <c r="BG112" s="279"/>
      <c r="BH112" s="279"/>
      <c r="BI112" s="189"/>
      <c r="BJ112" s="189"/>
      <c r="BK112" s="189"/>
      <c r="BL112" s="189"/>
      <c r="BM112" s="194"/>
      <c r="BN112" s="281"/>
      <c r="BO112" s="279"/>
      <c r="BP112" s="279"/>
      <c r="BQ112" s="189"/>
      <c r="BR112" s="189"/>
      <c r="BS112" s="189"/>
      <c r="BT112" s="189"/>
      <c r="BU112" s="194"/>
      <c r="BV112" s="281"/>
      <c r="BW112" s="279"/>
      <c r="BX112" s="279"/>
      <c r="BY112" s="189"/>
      <c r="BZ112" s="189"/>
      <c r="CA112" s="189"/>
      <c r="CB112" s="189"/>
      <c r="CC112" s="194"/>
      <c r="CD112" s="281"/>
      <c r="CE112" s="279"/>
      <c r="CF112" s="279"/>
      <c r="CG112" s="189"/>
      <c r="CH112" s="189"/>
      <c r="CI112" s="189"/>
      <c r="CJ112" s="189"/>
      <c r="CK112" s="194"/>
      <c r="CL112" s="281"/>
      <c r="CM112" s="279"/>
      <c r="CN112" s="279"/>
      <c r="CO112" s="189"/>
      <c r="CP112" s="189"/>
      <c r="CQ112" s="189"/>
      <c r="CR112" s="189"/>
      <c r="CS112" s="194"/>
      <c r="CT112" s="281"/>
      <c r="CU112" s="279"/>
      <c r="CV112" s="279"/>
      <c r="CW112" s="189"/>
      <c r="CX112" s="189"/>
      <c r="CY112" s="189"/>
      <c r="CZ112" s="189"/>
      <c r="DA112" s="194"/>
      <c r="DB112" s="281"/>
      <c r="DC112" s="279"/>
      <c r="DD112" s="279"/>
      <c r="DE112" s="189"/>
      <c r="DF112" s="189"/>
      <c r="DG112" s="189"/>
      <c r="DH112" s="189"/>
      <c r="DI112" s="194"/>
      <c r="DJ112" s="281"/>
      <c r="DK112" s="279"/>
      <c r="DL112" s="279"/>
      <c r="DM112" s="189"/>
      <c r="DN112" s="189"/>
      <c r="DO112" s="189"/>
      <c r="DP112" s="189"/>
      <c r="DQ112" s="194"/>
      <c r="DR112" s="281"/>
      <c r="DS112" s="279"/>
      <c r="DT112" s="279"/>
      <c r="DU112" s="189"/>
      <c r="DV112" s="189"/>
      <c r="DW112" s="189"/>
      <c r="DX112" s="189"/>
      <c r="DY112" s="194"/>
      <c r="DZ112" s="281"/>
      <c r="EA112" s="279"/>
      <c r="EB112" s="279"/>
      <c r="EC112" s="189"/>
      <c r="ED112" s="189"/>
      <c r="EE112" s="189"/>
      <c r="EF112" s="189"/>
      <c r="EG112" s="194"/>
      <c r="EH112" s="281"/>
      <c r="EI112" s="279"/>
      <c r="EJ112" s="279"/>
      <c r="EK112" s="189"/>
      <c r="EL112" s="189"/>
      <c r="EM112" s="189"/>
      <c r="EN112" s="189"/>
      <c r="EO112" s="194"/>
      <c r="EP112" s="281"/>
      <c r="EQ112" s="279"/>
      <c r="ER112" s="279"/>
      <c r="ES112" s="189"/>
      <c r="ET112" s="189"/>
      <c r="EU112" s="189"/>
      <c r="EV112" s="189"/>
      <c r="EW112" s="194"/>
      <c r="EX112" s="281"/>
      <c r="EY112" s="279"/>
      <c r="EZ112" s="279"/>
      <c r="FA112" s="189"/>
      <c r="FB112" s="189"/>
      <c r="FC112" s="189"/>
      <c r="FD112" s="189"/>
      <c r="FE112" s="194"/>
      <c r="FF112" s="281"/>
      <c r="FG112" s="279"/>
      <c r="FH112" s="279"/>
      <c r="FI112" s="189"/>
      <c r="FJ112" s="189"/>
      <c r="FK112" s="189"/>
      <c r="FL112" s="189"/>
      <c r="FM112" s="194"/>
      <c r="FN112" s="281"/>
      <c r="FO112" s="279"/>
      <c r="FP112" s="279"/>
      <c r="FQ112" s="189"/>
      <c r="FR112" s="189"/>
      <c r="FS112" s="189"/>
      <c r="FT112" s="189"/>
      <c r="FU112" s="194"/>
      <c r="FV112" s="281"/>
      <c r="FW112" s="279"/>
      <c r="FX112" s="279"/>
      <c r="FY112" s="189"/>
      <c r="FZ112" s="189"/>
      <c r="GA112" s="189"/>
      <c r="GB112" s="189"/>
      <c r="GC112" s="194"/>
      <c r="GD112" s="281"/>
      <c r="GE112" s="279"/>
      <c r="GF112" s="279"/>
      <c r="GG112" s="189"/>
      <c r="GH112" s="189"/>
      <c r="GI112" s="189"/>
      <c r="GJ112" s="189"/>
      <c r="GK112" s="194"/>
      <c r="GL112" s="281"/>
      <c r="GM112" s="279"/>
      <c r="GN112" s="279"/>
      <c r="GO112" s="189"/>
      <c r="GP112" s="189"/>
      <c r="GQ112" s="189"/>
      <c r="GR112" s="189"/>
      <c r="GS112" s="194"/>
      <c r="GT112" s="281"/>
      <c r="GU112" s="279"/>
      <c r="GV112" s="279"/>
      <c r="GW112" s="189"/>
      <c r="GX112" s="189"/>
      <c r="GY112" s="189"/>
      <c r="GZ112" s="189"/>
      <c r="HA112" s="194"/>
      <c r="HB112" s="281"/>
      <c r="HC112" s="279"/>
      <c r="HD112" s="279"/>
      <c r="HE112" s="189"/>
      <c r="HF112" s="189"/>
      <c r="HG112" s="189"/>
      <c r="HH112" s="189"/>
      <c r="HI112" s="194"/>
      <c r="HJ112" s="281"/>
      <c r="HK112" s="279"/>
      <c r="HL112" s="279"/>
      <c r="HM112" s="189"/>
      <c r="HN112" s="189"/>
      <c r="HO112" s="189"/>
      <c r="HP112" s="189"/>
      <c r="HQ112" s="194"/>
      <c r="HR112" s="281"/>
      <c r="HS112" s="279"/>
      <c r="HT112" s="279"/>
      <c r="HU112" s="189"/>
      <c r="HV112" s="189"/>
      <c r="HW112" s="189"/>
      <c r="HX112" s="189"/>
      <c r="HY112" s="194"/>
      <c r="HZ112" s="281"/>
      <c r="IA112" s="279"/>
      <c r="IB112" s="279"/>
      <c r="IC112" s="189"/>
      <c r="ID112" s="189"/>
      <c r="IE112" s="189"/>
      <c r="IF112" s="189"/>
      <c r="IG112" s="194"/>
      <c r="IH112" s="281"/>
      <c r="II112" s="279"/>
      <c r="IJ112" s="279"/>
      <c r="IK112" s="189"/>
      <c r="IL112" s="189"/>
      <c r="IM112" s="189"/>
      <c r="IN112" s="189"/>
    </row>
    <row r="113" spans="1:248" s="188" customFormat="1" ht="12.75">
      <c r="A113" s="227"/>
      <c r="B113" s="266" t="s">
        <v>571</v>
      </c>
      <c r="C113" s="290" t="s">
        <v>476</v>
      </c>
      <c r="D113" s="319">
        <f>32+180</f>
        <v>212</v>
      </c>
      <c r="E113" s="247">
        <v>1</v>
      </c>
      <c r="F113" s="247">
        <v>1</v>
      </c>
      <c r="G113" s="319">
        <f>32+180</f>
        <v>212</v>
      </c>
      <c r="H113" s="291">
        <f t="shared" si="3"/>
        <v>4967.447230925404</v>
      </c>
      <c r="I113" s="212"/>
      <c r="J113" s="181"/>
      <c r="K113" s="181"/>
      <c r="L113" s="279"/>
      <c r="M113" s="189"/>
      <c r="N113" s="189"/>
      <c r="O113" s="189"/>
      <c r="P113" s="189"/>
      <c r="Q113" s="194"/>
      <c r="R113" s="281"/>
      <c r="S113" s="279"/>
      <c r="T113" s="279"/>
      <c r="U113" s="189"/>
      <c r="V113" s="189"/>
      <c r="W113" s="189"/>
      <c r="X113" s="189"/>
      <c r="Y113" s="194"/>
      <c r="Z113" s="281"/>
      <c r="AA113" s="279"/>
      <c r="AB113" s="279"/>
      <c r="AC113" s="189"/>
      <c r="AD113" s="189"/>
      <c r="AE113" s="189"/>
      <c r="AF113" s="189"/>
      <c r="AG113" s="194"/>
      <c r="AH113" s="281"/>
      <c r="AI113" s="279"/>
      <c r="AJ113" s="279"/>
      <c r="AK113" s="189"/>
      <c r="AL113" s="189"/>
      <c r="AM113" s="189"/>
      <c r="AN113" s="189"/>
      <c r="AO113" s="194"/>
      <c r="AP113" s="281"/>
      <c r="AQ113" s="279"/>
      <c r="AR113" s="279"/>
      <c r="AS113" s="189"/>
      <c r="AT113" s="189"/>
      <c r="AU113" s="189"/>
      <c r="AV113" s="189"/>
      <c r="AW113" s="194"/>
      <c r="AX113" s="281"/>
      <c r="AY113" s="279"/>
      <c r="AZ113" s="279"/>
      <c r="BA113" s="189"/>
      <c r="BB113" s="189"/>
      <c r="BC113" s="189"/>
      <c r="BD113" s="189"/>
      <c r="BE113" s="194"/>
      <c r="BF113" s="281"/>
      <c r="BG113" s="279"/>
      <c r="BH113" s="279"/>
      <c r="BI113" s="189"/>
      <c r="BJ113" s="189"/>
      <c r="BK113" s="189"/>
      <c r="BL113" s="189"/>
      <c r="BM113" s="194"/>
      <c r="BN113" s="281"/>
      <c r="BO113" s="279"/>
      <c r="BP113" s="279"/>
      <c r="BQ113" s="189"/>
      <c r="BR113" s="189"/>
      <c r="BS113" s="189"/>
      <c r="BT113" s="189"/>
      <c r="BU113" s="194"/>
      <c r="BV113" s="281"/>
      <c r="BW113" s="279"/>
      <c r="BX113" s="279"/>
      <c r="BY113" s="189"/>
      <c r="BZ113" s="189"/>
      <c r="CA113" s="189"/>
      <c r="CB113" s="189"/>
      <c r="CC113" s="194"/>
      <c r="CD113" s="281"/>
      <c r="CE113" s="279"/>
      <c r="CF113" s="279"/>
      <c r="CG113" s="189"/>
      <c r="CH113" s="189"/>
      <c r="CI113" s="189"/>
      <c r="CJ113" s="189"/>
      <c r="CK113" s="194"/>
      <c r="CL113" s="281"/>
      <c r="CM113" s="279"/>
      <c r="CN113" s="279"/>
      <c r="CO113" s="189"/>
      <c r="CP113" s="189"/>
      <c r="CQ113" s="189"/>
      <c r="CR113" s="189"/>
      <c r="CS113" s="194"/>
      <c r="CT113" s="281"/>
      <c r="CU113" s="279"/>
      <c r="CV113" s="279"/>
      <c r="CW113" s="189"/>
      <c r="CX113" s="189"/>
      <c r="CY113" s="189"/>
      <c r="CZ113" s="189"/>
      <c r="DA113" s="194"/>
      <c r="DB113" s="281"/>
      <c r="DC113" s="279"/>
      <c r="DD113" s="279"/>
      <c r="DE113" s="189"/>
      <c r="DF113" s="189"/>
      <c r="DG113" s="189"/>
      <c r="DH113" s="189"/>
      <c r="DI113" s="194"/>
      <c r="DJ113" s="281"/>
      <c r="DK113" s="279"/>
      <c r="DL113" s="279"/>
      <c r="DM113" s="189"/>
      <c r="DN113" s="189"/>
      <c r="DO113" s="189"/>
      <c r="DP113" s="189"/>
      <c r="DQ113" s="194"/>
      <c r="DR113" s="281"/>
      <c r="DS113" s="279"/>
      <c r="DT113" s="279"/>
      <c r="DU113" s="189"/>
      <c r="DV113" s="189"/>
      <c r="DW113" s="189"/>
      <c r="DX113" s="189"/>
      <c r="DY113" s="194"/>
      <c r="DZ113" s="281"/>
      <c r="EA113" s="279"/>
      <c r="EB113" s="279"/>
      <c r="EC113" s="189"/>
      <c r="ED113" s="189"/>
      <c r="EE113" s="189"/>
      <c r="EF113" s="189"/>
      <c r="EG113" s="194"/>
      <c r="EH113" s="281"/>
      <c r="EI113" s="279"/>
      <c r="EJ113" s="279"/>
      <c r="EK113" s="189"/>
      <c r="EL113" s="189"/>
      <c r="EM113" s="189"/>
      <c r="EN113" s="189"/>
      <c r="EO113" s="194"/>
      <c r="EP113" s="281"/>
      <c r="EQ113" s="279"/>
      <c r="ER113" s="279"/>
      <c r="ES113" s="189"/>
      <c r="ET113" s="189"/>
      <c r="EU113" s="189"/>
      <c r="EV113" s="189"/>
      <c r="EW113" s="194"/>
      <c r="EX113" s="281"/>
      <c r="EY113" s="279"/>
      <c r="EZ113" s="279"/>
      <c r="FA113" s="189"/>
      <c r="FB113" s="189"/>
      <c r="FC113" s="189"/>
      <c r="FD113" s="189"/>
      <c r="FE113" s="194"/>
      <c r="FF113" s="281"/>
      <c r="FG113" s="279"/>
      <c r="FH113" s="279"/>
      <c r="FI113" s="189"/>
      <c r="FJ113" s="189"/>
      <c r="FK113" s="189"/>
      <c r="FL113" s="189"/>
      <c r="FM113" s="194"/>
      <c r="FN113" s="281"/>
      <c r="FO113" s="279"/>
      <c r="FP113" s="279"/>
      <c r="FQ113" s="189"/>
      <c r="FR113" s="189"/>
      <c r="FS113" s="189"/>
      <c r="FT113" s="189"/>
      <c r="FU113" s="194"/>
      <c r="FV113" s="281"/>
      <c r="FW113" s="279"/>
      <c r="FX113" s="279"/>
      <c r="FY113" s="189"/>
      <c r="FZ113" s="189"/>
      <c r="GA113" s="189"/>
      <c r="GB113" s="189"/>
      <c r="GC113" s="194"/>
      <c r="GD113" s="281"/>
      <c r="GE113" s="279"/>
      <c r="GF113" s="279"/>
      <c r="GG113" s="189"/>
      <c r="GH113" s="189"/>
      <c r="GI113" s="189"/>
      <c r="GJ113" s="189"/>
      <c r="GK113" s="194"/>
      <c r="GL113" s="281"/>
      <c r="GM113" s="279"/>
      <c r="GN113" s="279"/>
      <c r="GO113" s="189"/>
      <c r="GP113" s="189"/>
      <c r="GQ113" s="189"/>
      <c r="GR113" s="189"/>
      <c r="GS113" s="194"/>
      <c r="GT113" s="281"/>
      <c r="GU113" s="279"/>
      <c r="GV113" s="279"/>
      <c r="GW113" s="189"/>
      <c r="GX113" s="189"/>
      <c r="GY113" s="189"/>
      <c r="GZ113" s="189"/>
      <c r="HA113" s="194"/>
      <c r="HB113" s="281"/>
      <c r="HC113" s="279"/>
      <c r="HD113" s="279"/>
      <c r="HE113" s="189"/>
      <c r="HF113" s="189"/>
      <c r="HG113" s="189"/>
      <c r="HH113" s="189"/>
      <c r="HI113" s="194"/>
      <c r="HJ113" s="281"/>
      <c r="HK113" s="279"/>
      <c r="HL113" s="279"/>
      <c r="HM113" s="189"/>
      <c r="HN113" s="189"/>
      <c r="HO113" s="189"/>
      <c r="HP113" s="189"/>
      <c r="HQ113" s="194"/>
      <c r="HR113" s="281"/>
      <c r="HS113" s="279"/>
      <c r="HT113" s="279"/>
      <c r="HU113" s="189"/>
      <c r="HV113" s="189"/>
      <c r="HW113" s="189"/>
      <c r="HX113" s="189"/>
      <c r="HY113" s="194"/>
      <c r="HZ113" s="281"/>
      <c r="IA113" s="279"/>
      <c r="IB113" s="279"/>
      <c r="IC113" s="189"/>
      <c r="ID113" s="189"/>
      <c r="IE113" s="189"/>
      <c r="IF113" s="189"/>
      <c r="IG113" s="194"/>
      <c r="IH113" s="281"/>
      <c r="II113" s="279"/>
      <c r="IJ113" s="279"/>
      <c r="IK113" s="189"/>
      <c r="IL113" s="189"/>
      <c r="IM113" s="189"/>
      <c r="IN113" s="189"/>
    </row>
    <row r="114" spans="1:248" s="188" customFormat="1" ht="13.5" customHeight="1">
      <c r="A114" s="227"/>
      <c r="B114" s="47" t="s">
        <v>413</v>
      </c>
      <c r="C114" s="290"/>
      <c r="D114" s="289"/>
      <c r="E114" s="247"/>
      <c r="F114" s="247"/>
      <c r="G114" s="289">
        <f>SUM(G99:G113)</f>
        <v>3555</v>
      </c>
      <c r="H114" s="299">
        <f>SUM(H99:H113)</f>
        <v>83298.46653745195</v>
      </c>
      <c r="I114" s="212"/>
      <c r="J114" s="281"/>
      <c r="K114" s="279"/>
      <c r="L114" s="279"/>
      <c r="M114" s="189"/>
      <c r="N114" s="189"/>
      <c r="O114" s="189"/>
      <c r="P114" s="189"/>
      <c r="Q114" s="194"/>
      <c r="R114" s="281"/>
      <c r="S114" s="279"/>
      <c r="T114" s="279"/>
      <c r="U114" s="189"/>
      <c r="V114" s="189"/>
      <c r="W114" s="189"/>
      <c r="X114" s="189"/>
      <c r="Y114" s="194"/>
      <c r="Z114" s="281"/>
      <c r="AA114" s="279"/>
      <c r="AB114" s="279"/>
      <c r="AC114" s="189"/>
      <c r="AD114" s="189"/>
      <c r="AE114" s="189"/>
      <c r="AF114" s="189"/>
      <c r="AG114" s="194"/>
      <c r="AH114" s="281"/>
      <c r="AI114" s="279"/>
      <c r="AJ114" s="279"/>
      <c r="AK114" s="189"/>
      <c r="AL114" s="189"/>
      <c r="AM114" s="189"/>
      <c r="AN114" s="189"/>
      <c r="AO114" s="194"/>
      <c r="AP114" s="281"/>
      <c r="AQ114" s="279"/>
      <c r="AR114" s="279"/>
      <c r="AS114" s="189"/>
      <c r="AT114" s="189"/>
      <c r="AU114" s="189"/>
      <c r="AV114" s="189"/>
      <c r="AW114" s="194"/>
      <c r="AX114" s="281"/>
      <c r="AY114" s="279"/>
      <c r="AZ114" s="279"/>
      <c r="BA114" s="189"/>
      <c r="BB114" s="189"/>
      <c r="BC114" s="189"/>
      <c r="BD114" s="189"/>
      <c r="BE114" s="194"/>
      <c r="BF114" s="281"/>
      <c r="BG114" s="279"/>
      <c r="BH114" s="279"/>
      <c r="BI114" s="189"/>
      <c r="BJ114" s="189"/>
      <c r="BK114" s="189"/>
      <c r="BL114" s="189"/>
      <c r="BM114" s="194"/>
      <c r="BN114" s="281"/>
      <c r="BO114" s="279"/>
      <c r="BP114" s="279"/>
      <c r="BQ114" s="189"/>
      <c r="BR114" s="189"/>
      <c r="BS114" s="189"/>
      <c r="BT114" s="189"/>
      <c r="BU114" s="194"/>
      <c r="BV114" s="281"/>
      <c r="BW114" s="279"/>
      <c r="BX114" s="279"/>
      <c r="BY114" s="189"/>
      <c r="BZ114" s="189"/>
      <c r="CA114" s="189"/>
      <c r="CB114" s="189"/>
      <c r="CC114" s="194"/>
      <c r="CD114" s="281"/>
      <c r="CE114" s="279"/>
      <c r="CF114" s="279"/>
      <c r="CG114" s="189"/>
      <c r="CH114" s="189"/>
      <c r="CI114" s="189"/>
      <c r="CJ114" s="189"/>
      <c r="CK114" s="194"/>
      <c r="CL114" s="281"/>
      <c r="CM114" s="279"/>
      <c r="CN114" s="279"/>
      <c r="CO114" s="189"/>
      <c r="CP114" s="189"/>
      <c r="CQ114" s="189"/>
      <c r="CR114" s="189"/>
      <c r="CS114" s="194"/>
      <c r="CT114" s="281"/>
      <c r="CU114" s="279"/>
      <c r="CV114" s="279"/>
      <c r="CW114" s="189"/>
      <c r="CX114" s="189"/>
      <c r="CY114" s="189"/>
      <c r="CZ114" s="189"/>
      <c r="DA114" s="194"/>
      <c r="DB114" s="281"/>
      <c r="DC114" s="279"/>
      <c r="DD114" s="279"/>
      <c r="DE114" s="189"/>
      <c r="DF114" s="189"/>
      <c r="DG114" s="189"/>
      <c r="DH114" s="189"/>
      <c r="DI114" s="194"/>
      <c r="DJ114" s="281"/>
      <c r="DK114" s="279"/>
      <c r="DL114" s="279"/>
      <c r="DM114" s="189"/>
      <c r="DN114" s="189"/>
      <c r="DO114" s="189"/>
      <c r="DP114" s="189"/>
      <c r="DQ114" s="194"/>
      <c r="DR114" s="281"/>
      <c r="DS114" s="279"/>
      <c r="DT114" s="279"/>
      <c r="DU114" s="189"/>
      <c r="DV114" s="189"/>
      <c r="DW114" s="189"/>
      <c r="DX114" s="189"/>
      <c r="DY114" s="194"/>
      <c r="DZ114" s="281"/>
      <c r="EA114" s="279"/>
      <c r="EB114" s="279"/>
      <c r="EC114" s="189"/>
      <c r="ED114" s="189"/>
      <c r="EE114" s="189"/>
      <c r="EF114" s="189"/>
      <c r="EG114" s="194"/>
      <c r="EH114" s="281"/>
      <c r="EI114" s="279"/>
      <c r="EJ114" s="279"/>
      <c r="EK114" s="189"/>
      <c r="EL114" s="189"/>
      <c r="EM114" s="189"/>
      <c r="EN114" s="189"/>
      <c r="EO114" s="194"/>
      <c r="EP114" s="281"/>
      <c r="EQ114" s="279"/>
      <c r="ER114" s="279"/>
      <c r="ES114" s="189"/>
      <c r="ET114" s="189"/>
      <c r="EU114" s="189"/>
      <c r="EV114" s="189"/>
      <c r="EW114" s="194"/>
      <c r="EX114" s="281"/>
      <c r="EY114" s="279"/>
      <c r="EZ114" s="279"/>
      <c r="FA114" s="189"/>
      <c r="FB114" s="189"/>
      <c r="FC114" s="189"/>
      <c r="FD114" s="189"/>
      <c r="FE114" s="194"/>
      <c r="FF114" s="281"/>
      <c r="FG114" s="279"/>
      <c r="FH114" s="279"/>
      <c r="FI114" s="189"/>
      <c r="FJ114" s="189"/>
      <c r="FK114" s="189"/>
      <c r="FL114" s="189"/>
      <c r="FM114" s="194"/>
      <c r="FN114" s="281"/>
      <c r="FO114" s="279"/>
      <c r="FP114" s="279"/>
      <c r="FQ114" s="189"/>
      <c r="FR114" s="189"/>
      <c r="FS114" s="189"/>
      <c r="FT114" s="189"/>
      <c r="FU114" s="194"/>
      <c r="FV114" s="281"/>
      <c r="FW114" s="279"/>
      <c r="FX114" s="279"/>
      <c r="FY114" s="189"/>
      <c r="FZ114" s="189"/>
      <c r="GA114" s="189"/>
      <c r="GB114" s="189"/>
      <c r="GC114" s="194"/>
      <c r="GD114" s="281"/>
      <c r="GE114" s="279"/>
      <c r="GF114" s="279"/>
      <c r="GG114" s="189"/>
      <c r="GH114" s="189"/>
      <c r="GI114" s="189"/>
      <c r="GJ114" s="189"/>
      <c r="GK114" s="194"/>
      <c r="GL114" s="281"/>
      <c r="GM114" s="279"/>
      <c r="GN114" s="279"/>
      <c r="GO114" s="189"/>
      <c r="GP114" s="189"/>
      <c r="GQ114" s="189"/>
      <c r="GR114" s="189"/>
      <c r="GS114" s="194"/>
      <c r="GT114" s="281"/>
      <c r="GU114" s="279"/>
      <c r="GV114" s="279"/>
      <c r="GW114" s="189"/>
      <c r="GX114" s="189"/>
      <c r="GY114" s="189"/>
      <c r="GZ114" s="189"/>
      <c r="HA114" s="194"/>
      <c r="HB114" s="281"/>
      <c r="HC114" s="279"/>
      <c r="HD114" s="279"/>
      <c r="HE114" s="189"/>
      <c r="HF114" s="189"/>
      <c r="HG114" s="189"/>
      <c r="HH114" s="189"/>
      <c r="HI114" s="194"/>
      <c r="HJ114" s="281"/>
      <c r="HK114" s="279"/>
      <c r="HL114" s="279"/>
      <c r="HM114" s="189"/>
      <c r="HN114" s="189"/>
      <c r="HO114" s="189"/>
      <c r="HP114" s="189"/>
      <c r="HQ114" s="194"/>
      <c r="HR114" s="281"/>
      <c r="HS114" s="279"/>
      <c r="HT114" s="279"/>
      <c r="HU114" s="189"/>
      <c r="HV114" s="189"/>
      <c r="HW114" s="189"/>
      <c r="HX114" s="189"/>
      <c r="HY114" s="194"/>
      <c r="HZ114" s="281"/>
      <c r="IA114" s="279"/>
      <c r="IB114" s="279"/>
      <c r="IC114" s="189"/>
      <c r="ID114" s="189"/>
      <c r="IE114" s="189"/>
      <c r="IF114" s="189"/>
      <c r="IG114" s="194"/>
      <c r="IH114" s="281"/>
      <c r="II114" s="279"/>
      <c r="IJ114" s="279"/>
      <c r="IK114" s="189"/>
      <c r="IL114" s="189"/>
      <c r="IM114" s="189"/>
      <c r="IN114" s="189"/>
    </row>
    <row r="115" spans="1:248" s="188" customFormat="1" ht="17.25" customHeight="1">
      <c r="A115" s="227"/>
      <c r="B115" s="93" t="s">
        <v>666</v>
      </c>
      <c r="C115" s="290"/>
      <c r="D115" s="289"/>
      <c r="E115" s="247"/>
      <c r="F115" s="247"/>
      <c r="G115" s="338">
        <f>G88+G97+G114</f>
        <v>33270.71751999999</v>
      </c>
      <c r="H115" s="299">
        <f>H88+H97+H114</f>
        <v>779577.9887529499</v>
      </c>
      <c r="I115" s="212"/>
      <c r="J115" s="281"/>
      <c r="K115" s="279"/>
      <c r="L115" s="279"/>
      <c r="M115" s="189"/>
      <c r="N115" s="189"/>
      <c r="O115" s="189"/>
      <c r="P115" s="189"/>
      <c r="Q115" s="194"/>
      <c r="R115" s="281"/>
      <c r="S115" s="279"/>
      <c r="T115" s="279"/>
      <c r="U115" s="189"/>
      <c r="V115" s="189"/>
      <c r="W115" s="189"/>
      <c r="X115" s="189"/>
      <c r="Y115" s="194"/>
      <c r="Z115" s="281"/>
      <c r="AA115" s="279"/>
      <c r="AB115" s="279"/>
      <c r="AC115" s="189"/>
      <c r="AD115" s="189"/>
      <c r="AE115" s="189"/>
      <c r="AF115" s="189"/>
      <c r="AG115" s="194"/>
      <c r="AH115" s="281"/>
      <c r="AI115" s="279"/>
      <c r="AJ115" s="279"/>
      <c r="AK115" s="189"/>
      <c r="AL115" s="189"/>
      <c r="AM115" s="189"/>
      <c r="AN115" s="189"/>
      <c r="AO115" s="194"/>
      <c r="AP115" s="281"/>
      <c r="AQ115" s="279"/>
      <c r="AR115" s="279"/>
      <c r="AS115" s="189"/>
      <c r="AT115" s="189"/>
      <c r="AU115" s="189"/>
      <c r="AV115" s="189"/>
      <c r="AW115" s="194"/>
      <c r="AX115" s="281"/>
      <c r="AY115" s="279"/>
      <c r="AZ115" s="279"/>
      <c r="BA115" s="189"/>
      <c r="BB115" s="189"/>
      <c r="BC115" s="189"/>
      <c r="BD115" s="189"/>
      <c r="BE115" s="194"/>
      <c r="BF115" s="281"/>
      <c r="BG115" s="279"/>
      <c r="BH115" s="279"/>
      <c r="BI115" s="189"/>
      <c r="BJ115" s="189"/>
      <c r="BK115" s="189"/>
      <c r="BL115" s="189"/>
      <c r="BM115" s="194"/>
      <c r="BN115" s="281"/>
      <c r="BO115" s="279"/>
      <c r="BP115" s="279"/>
      <c r="BQ115" s="189"/>
      <c r="BR115" s="189"/>
      <c r="BS115" s="189"/>
      <c r="BT115" s="189"/>
      <c r="BU115" s="194"/>
      <c r="BV115" s="281"/>
      <c r="BW115" s="279"/>
      <c r="BX115" s="279"/>
      <c r="BY115" s="189"/>
      <c r="BZ115" s="189"/>
      <c r="CA115" s="189"/>
      <c r="CB115" s="189"/>
      <c r="CC115" s="194"/>
      <c r="CD115" s="281"/>
      <c r="CE115" s="279"/>
      <c r="CF115" s="279"/>
      <c r="CG115" s="189"/>
      <c r="CH115" s="189"/>
      <c r="CI115" s="189"/>
      <c r="CJ115" s="189"/>
      <c r="CK115" s="194"/>
      <c r="CL115" s="281"/>
      <c r="CM115" s="279"/>
      <c r="CN115" s="279"/>
      <c r="CO115" s="189"/>
      <c r="CP115" s="189"/>
      <c r="CQ115" s="189"/>
      <c r="CR115" s="189"/>
      <c r="CS115" s="194"/>
      <c r="CT115" s="281"/>
      <c r="CU115" s="279"/>
      <c r="CV115" s="279"/>
      <c r="CW115" s="189"/>
      <c r="CX115" s="189"/>
      <c r="CY115" s="189"/>
      <c r="CZ115" s="189"/>
      <c r="DA115" s="194"/>
      <c r="DB115" s="281"/>
      <c r="DC115" s="279"/>
      <c r="DD115" s="279"/>
      <c r="DE115" s="189"/>
      <c r="DF115" s="189"/>
      <c r="DG115" s="189"/>
      <c r="DH115" s="189"/>
      <c r="DI115" s="194"/>
      <c r="DJ115" s="281"/>
      <c r="DK115" s="279"/>
      <c r="DL115" s="279"/>
      <c r="DM115" s="189"/>
      <c r="DN115" s="189"/>
      <c r="DO115" s="189"/>
      <c r="DP115" s="189"/>
      <c r="DQ115" s="194"/>
      <c r="DR115" s="281"/>
      <c r="DS115" s="279"/>
      <c r="DT115" s="279"/>
      <c r="DU115" s="189"/>
      <c r="DV115" s="189"/>
      <c r="DW115" s="189"/>
      <c r="DX115" s="189"/>
      <c r="DY115" s="194"/>
      <c r="DZ115" s="281"/>
      <c r="EA115" s="279"/>
      <c r="EB115" s="279"/>
      <c r="EC115" s="189"/>
      <c r="ED115" s="189"/>
      <c r="EE115" s="189"/>
      <c r="EF115" s="189"/>
      <c r="EG115" s="194"/>
      <c r="EH115" s="281"/>
      <c r="EI115" s="279"/>
      <c r="EJ115" s="279"/>
      <c r="EK115" s="189"/>
      <c r="EL115" s="189"/>
      <c r="EM115" s="189"/>
      <c r="EN115" s="189"/>
      <c r="EO115" s="194"/>
      <c r="EP115" s="281"/>
      <c r="EQ115" s="279"/>
      <c r="ER115" s="279"/>
      <c r="ES115" s="189"/>
      <c r="ET115" s="189"/>
      <c r="EU115" s="189"/>
      <c r="EV115" s="189"/>
      <c r="EW115" s="194"/>
      <c r="EX115" s="281"/>
      <c r="EY115" s="279"/>
      <c r="EZ115" s="279"/>
      <c r="FA115" s="189"/>
      <c r="FB115" s="189"/>
      <c r="FC115" s="189"/>
      <c r="FD115" s="189"/>
      <c r="FE115" s="194"/>
      <c r="FF115" s="281"/>
      <c r="FG115" s="279"/>
      <c r="FH115" s="279"/>
      <c r="FI115" s="189"/>
      <c r="FJ115" s="189"/>
      <c r="FK115" s="189"/>
      <c r="FL115" s="189"/>
      <c r="FM115" s="194"/>
      <c r="FN115" s="281"/>
      <c r="FO115" s="279"/>
      <c r="FP115" s="279"/>
      <c r="FQ115" s="189"/>
      <c r="FR115" s="189"/>
      <c r="FS115" s="189"/>
      <c r="FT115" s="189"/>
      <c r="FU115" s="194"/>
      <c r="FV115" s="281"/>
      <c r="FW115" s="279"/>
      <c r="FX115" s="279"/>
      <c r="FY115" s="189"/>
      <c r="FZ115" s="189"/>
      <c r="GA115" s="189"/>
      <c r="GB115" s="189"/>
      <c r="GC115" s="194"/>
      <c r="GD115" s="281"/>
      <c r="GE115" s="279"/>
      <c r="GF115" s="279"/>
      <c r="GG115" s="189"/>
      <c r="GH115" s="189"/>
      <c r="GI115" s="189"/>
      <c r="GJ115" s="189"/>
      <c r="GK115" s="194"/>
      <c r="GL115" s="281"/>
      <c r="GM115" s="279"/>
      <c r="GN115" s="279"/>
      <c r="GO115" s="189"/>
      <c r="GP115" s="189"/>
      <c r="GQ115" s="189"/>
      <c r="GR115" s="189"/>
      <c r="GS115" s="194"/>
      <c r="GT115" s="281"/>
      <c r="GU115" s="279"/>
      <c r="GV115" s="279"/>
      <c r="GW115" s="189"/>
      <c r="GX115" s="189"/>
      <c r="GY115" s="189"/>
      <c r="GZ115" s="189"/>
      <c r="HA115" s="194"/>
      <c r="HB115" s="281"/>
      <c r="HC115" s="279"/>
      <c r="HD115" s="279"/>
      <c r="HE115" s="189"/>
      <c r="HF115" s="189"/>
      <c r="HG115" s="189"/>
      <c r="HH115" s="189"/>
      <c r="HI115" s="194"/>
      <c r="HJ115" s="281"/>
      <c r="HK115" s="279"/>
      <c r="HL115" s="279"/>
      <c r="HM115" s="189"/>
      <c r="HN115" s="189"/>
      <c r="HO115" s="189"/>
      <c r="HP115" s="189"/>
      <c r="HQ115" s="194"/>
      <c r="HR115" s="281"/>
      <c r="HS115" s="279"/>
      <c r="HT115" s="279"/>
      <c r="HU115" s="189"/>
      <c r="HV115" s="189"/>
      <c r="HW115" s="189"/>
      <c r="HX115" s="189"/>
      <c r="HY115" s="194"/>
      <c r="HZ115" s="281"/>
      <c r="IA115" s="279"/>
      <c r="IB115" s="279"/>
      <c r="IC115" s="189"/>
      <c r="ID115" s="189"/>
      <c r="IE115" s="189"/>
      <c r="IF115" s="189"/>
      <c r="IG115" s="194"/>
      <c r="IH115" s="281"/>
      <c r="II115" s="279"/>
      <c r="IJ115" s="279"/>
      <c r="IK115" s="189"/>
      <c r="IL115" s="189"/>
      <c r="IM115" s="189"/>
      <c r="IN115" s="189"/>
    </row>
    <row r="116" spans="1:248" s="188" customFormat="1" ht="12.75">
      <c r="A116" s="227">
        <v>23</v>
      </c>
      <c r="B116" s="47" t="s">
        <v>605</v>
      </c>
      <c r="C116" s="212"/>
      <c r="D116" s="212"/>
      <c r="E116" s="215"/>
      <c r="F116" s="215"/>
      <c r="G116" s="287"/>
      <c r="H116" s="286"/>
      <c r="I116" s="227"/>
      <c r="J116" s="281"/>
      <c r="K116" s="279"/>
      <c r="L116" s="279"/>
      <c r="M116" s="189"/>
      <c r="N116" s="189"/>
      <c r="O116" s="190"/>
      <c r="P116" s="189"/>
      <c r="Q116" s="194"/>
      <c r="R116" s="281"/>
      <c r="S116" s="279"/>
      <c r="T116" s="279"/>
      <c r="U116" s="189"/>
      <c r="V116" s="189"/>
      <c r="W116" s="190"/>
      <c r="X116" s="189"/>
      <c r="Y116" s="194"/>
      <c r="Z116" s="281"/>
      <c r="AA116" s="279"/>
      <c r="AB116" s="279"/>
      <c r="AC116" s="189"/>
      <c r="AD116" s="189"/>
      <c r="AE116" s="190"/>
      <c r="AF116" s="189"/>
      <c r="AG116" s="194"/>
      <c r="AH116" s="281"/>
      <c r="AI116" s="279"/>
      <c r="AJ116" s="279"/>
      <c r="AK116" s="189"/>
      <c r="AL116" s="189"/>
      <c r="AM116" s="190"/>
      <c r="AN116" s="189"/>
      <c r="AO116" s="194"/>
      <c r="AP116" s="281"/>
      <c r="AQ116" s="279"/>
      <c r="AR116" s="279"/>
      <c r="AS116" s="189"/>
      <c r="AT116" s="189"/>
      <c r="AU116" s="190"/>
      <c r="AV116" s="189"/>
      <c r="AW116" s="194"/>
      <c r="AX116" s="281"/>
      <c r="AY116" s="279"/>
      <c r="AZ116" s="279"/>
      <c r="BA116" s="189"/>
      <c r="BB116" s="189"/>
      <c r="BC116" s="190"/>
      <c r="BD116" s="189"/>
      <c r="BE116" s="194"/>
      <c r="BF116" s="281"/>
      <c r="BG116" s="279"/>
      <c r="BH116" s="279"/>
      <c r="BI116" s="189"/>
      <c r="BJ116" s="189"/>
      <c r="BK116" s="190"/>
      <c r="BL116" s="189"/>
      <c r="BM116" s="194"/>
      <c r="BN116" s="281"/>
      <c r="BO116" s="279"/>
      <c r="BP116" s="279"/>
      <c r="BQ116" s="189"/>
      <c r="BR116" s="189"/>
      <c r="BS116" s="190"/>
      <c r="BT116" s="189"/>
      <c r="BU116" s="194"/>
      <c r="BV116" s="281"/>
      <c r="BW116" s="279"/>
      <c r="BX116" s="279"/>
      <c r="BY116" s="189"/>
      <c r="BZ116" s="189"/>
      <c r="CA116" s="190"/>
      <c r="CB116" s="189"/>
      <c r="CC116" s="194"/>
      <c r="CD116" s="281"/>
      <c r="CE116" s="279"/>
      <c r="CF116" s="279"/>
      <c r="CG116" s="189"/>
      <c r="CH116" s="189"/>
      <c r="CI116" s="190"/>
      <c r="CJ116" s="189"/>
      <c r="CK116" s="194"/>
      <c r="CL116" s="281"/>
      <c r="CM116" s="279"/>
      <c r="CN116" s="279"/>
      <c r="CO116" s="189"/>
      <c r="CP116" s="189"/>
      <c r="CQ116" s="190"/>
      <c r="CR116" s="189"/>
      <c r="CS116" s="194"/>
      <c r="CT116" s="281"/>
      <c r="CU116" s="279"/>
      <c r="CV116" s="279"/>
      <c r="CW116" s="189"/>
      <c r="CX116" s="189"/>
      <c r="CY116" s="190"/>
      <c r="CZ116" s="189"/>
      <c r="DA116" s="194"/>
      <c r="DB116" s="281"/>
      <c r="DC116" s="279"/>
      <c r="DD116" s="279"/>
      <c r="DE116" s="189"/>
      <c r="DF116" s="189"/>
      <c r="DG116" s="190"/>
      <c r="DH116" s="189"/>
      <c r="DI116" s="194"/>
      <c r="DJ116" s="281"/>
      <c r="DK116" s="279"/>
      <c r="DL116" s="279"/>
      <c r="DM116" s="189"/>
      <c r="DN116" s="189"/>
      <c r="DO116" s="190"/>
      <c r="DP116" s="189"/>
      <c r="DQ116" s="194"/>
      <c r="DR116" s="281"/>
      <c r="DS116" s="279"/>
      <c r="DT116" s="279"/>
      <c r="DU116" s="189"/>
      <c r="DV116" s="189"/>
      <c r="DW116" s="190"/>
      <c r="DX116" s="189"/>
      <c r="DY116" s="194"/>
      <c r="DZ116" s="281"/>
      <c r="EA116" s="279"/>
      <c r="EB116" s="279"/>
      <c r="EC116" s="189"/>
      <c r="ED116" s="189"/>
      <c r="EE116" s="190"/>
      <c r="EF116" s="189"/>
      <c r="EG116" s="194"/>
      <c r="EH116" s="281"/>
      <c r="EI116" s="279"/>
      <c r="EJ116" s="279"/>
      <c r="EK116" s="189"/>
      <c r="EL116" s="189"/>
      <c r="EM116" s="190"/>
      <c r="EN116" s="189"/>
      <c r="EO116" s="194"/>
      <c r="EP116" s="281"/>
      <c r="EQ116" s="279"/>
      <c r="ER116" s="279"/>
      <c r="ES116" s="189"/>
      <c r="ET116" s="189"/>
      <c r="EU116" s="190"/>
      <c r="EV116" s="189"/>
      <c r="EW116" s="194"/>
      <c r="EX116" s="281"/>
      <c r="EY116" s="279"/>
      <c r="EZ116" s="279"/>
      <c r="FA116" s="189"/>
      <c r="FB116" s="189"/>
      <c r="FC116" s="190"/>
      <c r="FD116" s="189"/>
      <c r="FE116" s="194"/>
      <c r="FF116" s="281"/>
      <c r="FG116" s="279"/>
      <c r="FH116" s="279"/>
      <c r="FI116" s="189"/>
      <c r="FJ116" s="189"/>
      <c r="FK116" s="190"/>
      <c r="FL116" s="189"/>
      <c r="FM116" s="194"/>
      <c r="FN116" s="281"/>
      <c r="FO116" s="279"/>
      <c r="FP116" s="279"/>
      <c r="FQ116" s="189"/>
      <c r="FR116" s="189"/>
      <c r="FS116" s="190"/>
      <c r="FT116" s="189"/>
      <c r="FU116" s="194"/>
      <c r="FV116" s="281"/>
      <c r="FW116" s="279"/>
      <c r="FX116" s="279"/>
      <c r="FY116" s="189"/>
      <c r="FZ116" s="189"/>
      <c r="GA116" s="190"/>
      <c r="GB116" s="189"/>
      <c r="GC116" s="194"/>
      <c r="GD116" s="281"/>
      <c r="GE116" s="279"/>
      <c r="GF116" s="279"/>
      <c r="GG116" s="189"/>
      <c r="GH116" s="189"/>
      <c r="GI116" s="190"/>
      <c r="GJ116" s="189"/>
      <c r="GK116" s="194"/>
      <c r="GL116" s="281"/>
      <c r="GM116" s="279"/>
      <c r="GN116" s="279"/>
      <c r="GO116" s="189"/>
      <c r="GP116" s="189"/>
      <c r="GQ116" s="190"/>
      <c r="GR116" s="189"/>
      <c r="GS116" s="194"/>
      <c r="GT116" s="281"/>
      <c r="GU116" s="279"/>
      <c r="GV116" s="279"/>
      <c r="GW116" s="189"/>
      <c r="GX116" s="189"/>
      <c r="GY116" s="190"/>
      <c r="GZ116" s="189"/>
      <c r="HA116" s="194"/>
      <c r="HB116" s="281"/>
      <c r="HC116" s="279"/>
      <c r="HD116" s="279"/>
      <c r="HE116" s="189"/>
      <c r="HF116" s="189"/>
      <c r="HG116" s="190"/>
      <c r="HH116" s="189"/>
      <c r="HI116" s="194"/>
      <c r="HJ116" s="281"/>
      <c r="HK116" s="279"/>
      <c r="HL116" s="279"/>
      <c r="HM116" s="189"/>
      <c r="HN116" s="189"/>
      <c r="HO116" s="190"/>
      <c r="HP116" s="189"/>
      <c r="HQ116" s="194"/>
      <c r="HR116" s="281"/>
      <c r="HS116" s="279"/>
      <c r="HT116" s="279"/>
      <c r="HU116" s="189"/>
      <c r="HV116" s="189"/>
      <c r="HW116" s="190"/>
      <c r="HX116" s="189"/>
      <c r="HY116" s="194"/>
      <c r="HZ116" s="281"/>
      <c r="IA116" s="279"/>
      <c r="IB116" s="279"/>
      <c r="IC116" s="189"/>
      <c r="ID116" s="189"/>
      <c r="IE116" s="190"/>
      <c r="IF116" s="189"/>
      <c r="IG116" s="194"/>
      <c r="IH116" s="281"/>
      <c r="II116" s="279"/>
      <c r="IJ116" s="279"/>
      <c r="IK116" s="189"/>
      <c r="IL116" s="189"/>
      <c r="IM116" s="190"/>
      <c r="IN116" s="189"/>
    </row>
    <row r="117" spans="1:248" s="188" customFormat="1" ht="12.75">
      <c r="A117" s="227"/>
      <c r="B117" s="51" t="s">
        <v>226</v>
      </c>
      <c r="C117" s="212" t="s">
        <v>61</v>
      </c>
      <c r="D117" s="215">
        <v>886</v>
      </c>
      <c r="E117" s="215">
        <v>1</v>
      </c>
      <c r="F117" s="215">
        <v>1</v>
      </c>
      <c r="G117" s="260">
        <f>D117*E117*F117</f>
        <v>886</v>
      </c>
      <c r="H117" s="291">
        <v>45548</v>
      </c>
      <c r="I117" s="215" t="s">
        <v>633</v>
      </c>
      <c r="L117" s="281"/>
      <c r="M117" s="279"/>
      <c r="N117" s="337"/>
      <c r="O117" s="190"/>
      <c r="P117" s="189"/>
      <c r="Q117" s="194"/>
      <c r="R117" s="281"/>
      <c r="S117" s="279"/>
      <c r="T117" s="279"/>
      <c r="U117" s="189"/>
      <c r="V117" s="189"/>
      <c r="W117" s="190"/>
      <c r="X117" s="189"/>
      <c r="Y117" s="194"/>
      <c r="Z117" s="281"/>
      <c r="AA117" s="279"/>
      <c r="AB117" s="279"/>
      <c r="AC117" s="189"/>
      <c r="AD117" s="189"/>
      <c r="AE117" s="190"/>
      <c r="AF117" s="189"/>
      <c r="AG117" s="194"/>
      <c r="AH117" s="281"/>
      <c r="AI117" s="279"/>
      <c r="AJ117" s="279"/>
      <c r="AK117" s="189"/>
      <c r="AL117" s="189"/>
      <c r="AM117" s="190"/>
      <c r="AN117" s="189"/>
      <c r="AO117" s="194"/>
      <c r="AP117" s="281"/>
      <c r="AQ117" s="279"/>
      <c r="AR117" s="279"/>
      <c r="AS117" s="189"/>
      <c r="AT117" s="189"/>
      <c r="AU117" s="190"/>
      <c r="AV117" s="189"/>
      <c r="AW117" s="194"/>
      <c r="AX117" s="281"/>
      <c r="AY117" s="279"/>
      <c r="AZ117" s="279"/>
      <c r="BA117" s="189"/>
      <c r="BB117" s="189"/>
      <c r="BC117" s="190"/>
      <c r="BD117" s="189"/>
      <c r="BE117" s="194"/>
      <c r="BF117" s="281"/>
      <c r="BG117" s="279"/>
      <c r="BH117" s="279"/>
      <c r="BI117" s="189"/>
      <c r="BJ117" s="189"/>
      <c r="BK117" s="190"/>
      <c r="BL117" s="189"/>
      <c r="BM117" s="194"/>
      <c r="BN117" s="281"/>
      <c r="BO117" s="279"/>
      <c r="BP117" s="279"/>
      <c r="BQ117" s="189"/>
      <c r="BR117" s="189"/>
      <c r="BS117" s="190"/>
      <c r="BT117" s="189"/>
      <c r="BU117" s="194"/>
      <c r="BV117" s="281"/>
      <c r="BW117" s="279"/>
      <c r="BX117" s="279"/>
      <c r="BY117" s="189"/>
      <c r="BZ117" s="189"/>
      <c r="CA117" s="190"/>
      <c r="CB117" s="189"/>
      <c r="CC117" s="194"/>
      <c r="CD117" s="281"/>
      <c r="CE117" s="279"/>
      <c r="CF117" s="279"/>
      <c r="CG117" s="189"/>
      <c r="CH117" s="189"/>
      <c r="CI117" s="190"/>
      <c r="CJ117" s="189"/>
      <c r="CK117" s="194"/>
      <c r="CL117" s="281"/>
      <c r="CM117" s="279"/>
      <c r="CN117" s="279"/>
      <c r="CO117" s="189"/>
      <c r="CP117" s="189"/>
      <c r="CQ117" s="190"/>
      <c r="CR117" s="189"/>
      <c r="CS117" s="194"/>
      <c r="CT117" s="281"/>
      <c r="CU117" s="279"/>
      <c r="CV117" s="279"/>
      <c r="CW117" s="189"/>
      <c r="CX117" s="189"/>
      <c r="CY117" s="190"/>
      <c r="CZ117" s="189"/>
      <c r="DA117" s="194"/>
      <c r="DB117" s="281"/>
      <c r="DC117" s="279"/>
      <c r="DD117" s="279"/>
      <c r="DE117" s="189"/>
      <c r="DF117" s="189"/>
      <c r="DG117" s="190"/>
      <c r="DH117" s="189"/>
      <c r="DI117" s="194"/>
      <c r="DJ117" s="281"/>
      <c r="DK117" s="279"/>
      <c r="DL117" s="279"/>
      <c r="DM117" s="189"/>
      <c r="DN117" s="189"/>
      <c r="DO117" s="190"/>
      <c r="DP117" s="189"/>
      <c r="DQ117" s="194"/>
      <c r="DR117" s="281"/>
      <c r="DS117" s="279"/>
      <c r="DT117" s="279"/>
      <c r="DU117" s="189"/>
      <c r="DV117" s="189"/>
      <c r="DW117" s="190"/>
      <c r="DX117" s="189"/>
      <c r="DY117" s="194"/>
      <c r="DZ117" s="281"/>
      <c r="EA117" s="279"/>
      <c r="EB117" s="279"/>
      <c r="EC117" s="189"/>
      <c r="ED117" s="189"/>
      <c r="EE117" s="190"/>
      <c r="EF117" s="189"/>
      <c r="EG117" s="194"/>
      <c r="EH117" s="281"/>
      <c r="EI117" s="279"/>
      <c r="EJ117" s="279"/>
      <c r="EK117" s="189"/>
      <c r="EL117" s="189"/>
      <c r="EM117" s="190"/>
      <c r="EN117" s="189"/>
      <c r="EO117" s="194"/>
      <c r="EP117" s="281"/>
      <c r="EQ117" s="279"/>
      <c r="ER117" s="279"/>
      <c r="ES117" s="189"/>
      <c r="ET117" s="189"/>
      <c r="EU117" s="190"/>
      <c r="EV117" s="189"/>
      <c r="EW117" s="194"/>
      <c r="EX117" s="281"/>
      <c r="EY117" s="279"/>
      <c r="EZ117" s="279"/>
      <c r="FA117" s="189"/>
      <c r="FB117" s="189"/>
      <c r="FC117" s="190"/>
      <c r="FD117" s="189"/>
      <c r="FE117" s="194"/>
      <c r="FF117" s="281"/>
      <c r="FG117" s="279"/>
      <c r="FH117" s="279"/>
      <c r="FI117" s="189"/>
      <c r="FJ117" s="189"/>
      <c r="FK117" s="190"/>
      <c r="FL117" s="189"/>
      <c r="FM117" s="194"/>
      <c r="FN117" s="281"/>
      <c r="FO117" s="279"/>
      <c r="FP117" s="279"/>
      <c r="FQ117" s="189"/>
      <c r="FR117" s="189"/>
      <c r="FS117" s="190"/>
      <c r="FT117" s="189"/>
      <c r="FU117" s="194"/>
      <c r="FV117" s="281"/>
      <c r="FW117" s="279"/>
      <c r="FX117" s="279"/>
      <c r="FY117" s="189"/>
      <c r="FZ117" s="189"/>
      <c r="GA117" s="190"/>
      <c r="GB117" s="189"/>
      <c r="GC117" s="194"/>
      <c r="GD117" s="281"/>
      <c r="GE117" s="279"/>
      <c r="GF117" s="279"/>
      <c r="GG117" s="189"/>
      <c r="GH117" s="189"/>
      <c r="GI117" s="190"/>
      <c r="GJ117" s="189"/>
      <c r="GK117" s="194"/>
      <c r="GL117" s="281"/>
      <c r="GM117" s="279"/>
      <c r="GN117" s="279"/>
      <c r="GO117" s="189"/>
      <c r="GP117" s="189"/>
      <c r="GQ117" s="190"/>
      <c r="GR117" s="189"/>
      <c r="GS117" s="194"/>
      <c r="GT117" s="281"/>
      <c r="GU117" s="279"/>
      <c r="GV117" s="279"/>
      <c r="GW117" s="189"/>
      <c r="GX117" s="189"/>
      <c r="GY117" s="190"/>
      <c r="GZ117" s="189"/>
      <c r="HA117" s="194"/>
      <c r="HB117" s="281"/>
      <c r="HC117" s="279"/>
      <c r="HD117" s="279"/>
      <c r="HE117" s="189"/>
      <c r="HF117" s="189"/>
      <c r="HG117" s="190"/>
      <c r="HH117" s="189"/>
      <c r="HI117" s="194"/>
      <c r="HJ117" s="281"/>
      <c r="HK117" s="279"/>
      <c r="HL117" s="279"/>
      <c r="HM117" s="189"/>
      <c r="HN117" s="189"/>
      <c r="HO117" s="190"/>
      <c r="HP117" s="189"/>
      <c r="HQ117" s="194"/>
      <c r="HR117" s="281"/>
      <c r="HS117" s="279"/>
      <c r="HT117" s="279"/>
      <c r="HU117" s="189"/>
      <c r="HV117" s="189"/>
      <c r="HW117" s="190"/>
      <c r="HX117" s="189"/>
      <c r="HY117" s="194"/>
      <c r="HZ117" s="281"/>
      <c r="IA117" s="279"/>
      <c r="IB117" s="279"/>
      <c r="IC117" s="189"/>
      <c r="ID117" s="189"/>
      <c r="IE117" s="190"/>
      <c r="IF117" s="189"/>
      <c r="IG117" s="194"/>
      <c r="IH117" s="281"/>
      <c r="II117" s="279"/>
      <c r="IJ117" s="279"/>
      <c r="IK117" s="189"/>
      <c r="IL117" s="189"/>
      <c r="IM117" s="190"/>
      <c r="IN117" s="189"/>
    </row>
    <row r="118" spans="1:248" s="188" customFormat="1" ht="12.75">
      <c r="A118" s="227"/>
      <c r="B118" s="51" t="s">
        <v>232</v>
      </c>
      <c r="C118" s="212" t="s">
        <v>61</v>
      </c>
      <c r="D118" s="212">
        <v>596</v>
      </c>
      <c r="E118" s="215">
        <v>1</v>
      </c>
      <c r="F118" s="215">
        <v>1</v>
      </c>
      <c r="G118" s="260">
        <f aca="true" t="shared" si="4" ref="G118:G131">D118*E118*F118</f>
        <v>596</v>
      </c>
      <c r="H118" s="291">
        <v>58783</v>
      </c>
      <c r="I118" s="215" t="s">
        <v>632</v>
      </c>
      <c r="L118" s="281"/>
      <c r="M118" s="279"/>
      <c r="N118" s="189"/>
      <c r="O118" s="190"/>
      <c r="P118" s="189"/>
      <c r="Q118" s="194"/>
      <c r="R118" s="281"/>
      <c r="S118" s="279"/>
      <c r="T118" s="279"/>
      <c r="U118" s="189"/>
      <c r="V118" s="189"/>
      <c r="W118" s="190"/>
      <c r="X118" s="189"/>
      <c r="Y118" s="194"/>
      <c r="Z118" s="281"/>
      <c r="AA118" s="279"/>
      <c r="AB118" s="279"/>
      <c r="AC118" s="189"/>
      <c r="AD118" s="189"/>
      <c r="AE118" s="190"/>
      <c r="AF118" s="189"/>
      <c r="AG118" s="194"/>
      <c r="AH118" s="281"/>
      <c r="AI118" s="279"/>
      <c r="AJ118" s="279"/>
      <c r="AK118" s="189"/>
      <c r="AL118" s="189"/>
      <c r="AM118" s="190"/>
      <c r="AN118" s="189"/>
      <c r="AO118" s="194"/>
      <c r="AP118" s="281"/>
      <c r="AQ118" s="279"/>
      <c r="AR118" s="279"/>
      <c r="AS118" s="189"/>
      <c r="AT118" s="189"/>
      <c r="AU118" s="190"/>
      <c r="AV118" s="189"/>
      <c r="AW118" s="194"/>
      <c r="AX118" s="281"/>
      <c r="AY118" s="279"/>
      <c r="AZ118" s="279"/>
      <c r="BA118" s="189"/>
      <c r="BB118" s="189"/>
      <c r="BC118" s="190"/>
      <c r="BD118" s="189"/>
      <c r="BE118" s="194"/>
      <c r="BF118" s="281"/>
      <c r="BG118" s="279"/>
      <c r="BH118" s="279"/>
      <c r="BI118" s="189"/>
      <c r="BJ118" s="189"/>
      <c r="BK118" s="190"/>
      <c r="BL118" s="189"/>
      <c r="BM118" s="194"/>
      <c r="BN118" s="281"/>
      <c r="BO118" s="279"/>
      <c r="BP118" s="279"/>
      <c r="BQ118" s="189"/>
      <c r="BR118" s="189"/>
      <c r="BS118" s="190"/>
      <c r="BT118" s="189"/>
      <c r="BU118" s="194"/>
      <c r="BV118" s="281"/>
      <c r="BW118" s="279"/>
      <c r="BX118" s="279"/>
      <c r="BY118" s="189"/>
      <c r="BZ118" s="189"/>
      <c r="CA118" s="190"/>
      <c r="CB118" s="189"/>
      <c r="CC118" s="194"/>
      <c r="CD118" s="281"/>
      <c r="CE118" s="279"/>
      <c r="CF118" s="279"/>
      <c r="CG118" s="189"/>
      <c r="CH118" s="189"/>
      <c r="CI118" s="190"/>
      <c r="CJ118" s="189"/>
      <c r="CK118" s="194"/>
      <c r="CL118" s="281"/>
      <c r="CM118" s="279"/>
      <c r="CN118" s="279"/>
      <c r="CO118" s="189"/>
      <c r="CP118" s="189"/>
      <c r="CQ118" s="190"/>
      <c r="CR118" s="189"/>
      <c r="CS118" s="194"/>
      <c r="CT118" s="281"/>
      <c r="CU118" s="279"/>
      <c r="CV118" s="279"/>
      <c r="CW118" s="189"/>
      <c r="CX118" s="189"/>
      <c r="CY118" s="190"/>
      <c r="CZ118" s="189"/>
      <c r="DA118" s="194"/>
      <c r="DB118" s="281"/>
      <c r="DC118" s="279"/>
      <c r="DD118" s="279"/>
      <c r="DE118" s="189"/>
      <c r="DF118" s="189"/>
      <c r="DG118" s="190"/>
      <c r="DH118" s="189"/>
      <c r="DI118" s="194"/>
      <c r="DJ118" s="281"/>
      <c r="DK118" s="279"/>
      <c r="DL118" s="279"/>
      <c r="DM118" s="189"/>
      <c r="DN118" s="189"/>
      <c r="DO118" s="190"/>
      <c r="DP118" s="189"/>
      <c r="DQ118" s="194"/>
      <c r="DR118" s="281"/>
      <c r="DS118" s="279"/>
      <c r="DT118" s="279"/>
      <c r="DU118" s="189"/>
      <c r="DV118" s="189"/>
      <c r="DW118" s="190"/>
      <c r="DX118" s="189"/>
      <c r="DY118" s="194"/>
      <c r="DZ118" s="281"/>
      <c r="EA118" s="279"/>
      <c r="EB118" s="279"/>
      <c r="EC118" s="189"/>
      <c r="ED118" s="189"/>
      <c r="EE118" s="190"/>
      <c r="EF118" s="189"/>
      <c r="EG118" s="194"/>
      <c r="EH118" s="281"/>
      <c r="EI118" s="279"/>
      <c r="EJ118" s="279"/>
      <c r="EK118" s="189"/>
      <c r="EL118" s="189"/>
      <c r="EM118" s="190"/>
      <c r="EN118" s="189"/>
      <c r="EO118" s="194"/>
      <c r="EP118" s="281"/>
      <c r="EQ118" s="279"/>
      <c r="ER118" s="279"/>
      <c r="ES118" s="189"/>
      <c r="ET118" s="189"/>
      <c r="EU118" s="190"/>
      <c r="EV118" s="189"/>
      <c r="EW118" s="194"/>
      <c r="EX118" s="281"/>
      <c r="EY118" s="279"/>
      <c r="EZ118" s="279"/>
      <c r="FA118" s="189"/>
      <c r="FB118" s="189"/>
      <c r="FC118" s="190"/>
      <c r="FD118" s="189"/>
      <c r="FE118" s="194"/>
      <c r="FF118" s="281"/>
      <c r="FG118" s="279"/>
      <c r="FH118" s="279"/>
      <c r="FI118" s="189"/>
      <c r="FJ118" s="189"/>
      <c r="FK118" s="190"/>
      <c r="FL118" s="189"/>
      <c r="FM118" s="194"/>
      <c r="FN118" s="281"/>
      <c r="FO118" s="279"/>
      <c r="FP118" s="279"/>
      <c r="FQ118" s="189"/>
      <c r="FR118" s="189"/>
      <c r="FS118" s="190"/>
      <c r="FT118" s="189"/>
      <c r="FU118" s="194"/>
      <c r="FV118" s="281"/>
      <c r="FW118" s="279"/>
      <c r="FX118" s="279"/>
      <c r="FY118" s="189"/>
      <c r="FZ118" s="189"/>
      <c r="GA118" s="190"/>
      <c r="GB118" s="189"/>
      <c r="GC118" s="194"/>
      <c r="GD118" s="281"/>
      <c r="GE118" s="279"/>
      <c r="GF118" s="279"/>
      <c r="GG118" s="189"/>
      <c r="GH118" s="189"/>
      <c r="GI118" s="190"/>
      <c r="GJ118" s="189"/>
      <c r="GK118" s="194"/>
      <c r="GL118" s="281"/>
      <c r="GM118" s="279"/>
      <c r="GN118" s="279"/>
      <c r="GO118" s="189"/>
      <c r="GP118" s="189"/>
      <c r="GQ118" s="190"/>
      <c r="GR118" s="189"/>
      <c r="GS118" s="194"/>
      <c r="GT118" s="281"/>
      <c r="GU118" s="279"/>
      <c r="GV118" s="279"/>
      <c r="GW118" s="189"/>
      <c r="GX118" s="189"/>
      <c r="GY118" s="190"/>
      <c r="GZ118" s="189"/>
      <c r="HA118" s="194"/>
      <c r="HB118" s="281"/>
      <c r="HC118" s="279"/>
      <c r="HD118" s="279"/>
      <c r="HE118" s="189"/>
      <c r="HF118" s="189"/>
      <c r="HG118" s="190"/>
      <c r="HH118" s="189"/>
      <c r="HI118" s="194"/>
      <c r="HJ118" s="281"/>
      <c r="HK118" s="279"/>
      <c r="HL118" s="279"/>
      <c r="HM118" s="189"/>
      <c r="HN118" s="189"/>
      <c r="HO118" s="190"/>
      <c r="HP118" s="189"/>
      <c r="HQ118" s="194"/>
      <c r="HR118" s="281"/>
      <c r="HS118" s="279"/>
      <c r="HT118" s="279"/>
      <c r="HU118" s="189"/>
      <c r="HV118" s="189"/>
      <c r="HW118" s="190"/>
      <c r="HX118" s="189"/>
      <c r="HY118" s="194"/>
      <c r="HZ118" s="281"/>
      <c r="IA118" s="279"/>
      <c r="IB118" s="279"/>
      <c r="IC118" s="189"/>
      <c r="ID118" s="189"/>
      <c r="IE118" s="190"/>
      <c r="IF118" s="189"/>
      <c r="IG118" s="194"/>
      <c r="IH118" s="281"/>
      <c r="II118" s="279"/>
      <c r="IJ118" s="279"/>
      <c r="IK118" s="189"/>
      <c r="IL118" s="189"/>
      <c r="IM118" s="190"/>
      <c r="IN118" s="189"/>
    </row>
    <row r="119" spans="1:248" s="188" customFormat="1" ht="12.75">
      <c r="A119" s="227"/>
      <c r="B119" s="51" t="s">
        <v>642</v>
      </c>
      <c r="C119" s="212" t="s">
        <v>61</v>
      </c>
      <c r="D119" s="212">
        <v>719</v>
      </c>
      <c r="E119" s="215">
        <v>1</v>
      </c>
      <c r="F119" s="215">
        <v>1</v>
      </c>
      <c r="G119" s="260">
        <f t="shared" si="4"/>
        <v>719</v>
      </c>
      <c r="H119" s="291">
        <v>16006</v>
      </c>
      <c r="I119" s="215" t="s">
        <v>660</v>
      </c>
      <c r="L119" s="281"/>
      <c r="M119" s="279"/>
      <c r="N119" s="189"/>
      <c r="O119" s="190"/>
      <c r="P119" s="189"/>
      <c r="Q119" s="194"/>
      <c r="R119" s="281"/>
      <c r="S119" s="279"/>
      <c r="T119" s="279"/>
      <c r="U119" s="189"/>
      <c r="V119" s="189"/>
      <c r="W119" s="190"/>
      <c r="X119" s="189"/>
      <c r="Y119" s="194"/>
      <c r="Z119" s="281"/>
      <c r="AA119" s="279"/>
      <c r="AB119" s="279"/>
      <c r="AC119" s="189"/>
      <c r="AD119" s="189"/>
      <c r="AE119" s="190"/>
      <c r="AF119" s="189"/>
      <c r="AG119" s="194"/>
      <c r="AH119" s="281"/>
      <c r="AI119" s="279"/>
      <c r="AJ119" s="279"/>
      <c r="AK119" s="189"/>
      <c r="AL119" s="189"/>
      <c r="AM119" s="190"/>
      <c r="AN119" s="189"/>
      <c r="AO119" s="194"/>
      <c r="AP119" s="281"/>
      <c r="AQ119" s="279"/>
      <c r="AR119" s="279"/>
      <c r="AS119" s="189"/>
      <c r="AT119" s="189"/>
      <c r="AU119" s="190"/>
      <c r="AV119" s="189"/>
      <c r="AW119" s="194"/>
      <c r="AX119" s="281"/>
      <c r="AY119" s="279"/>
      <c r="AZ119" s="279"/>
      <c r="BA119" s="189"/>
      <c r="BB119" s="189"/>
      <c r="BC119" s="190"/>
      <c r="BD119" s="189"/>
      <c r="BE119" s="194"/>
      <c r="BF119" s="281"/>
      <c r="BG119" s="279"/>
      <c r="BH119" s="279"/>
      <c r="BI119" s="189"/>
      <c r="BJ119" s="189"/>
      <c r="BK119" s="190"/>
      <c r="BL119" s="189"/>
      <c r="BM119" s="194"/>
      <c r="BN119" s="281"/>
      <c r="BO119" s="279"/>
      <c r="BP119" s="279"/>
      <c r="BQ119" s="189"/>
      <c r="BR119" s="189"/>
      <c r="BS119" s="190"/>
      <c r="BT119" s="189"/>
      <c r="BU119" s="194"/>
      <c r="BV119" s="281"/>
      <c r="BW119" s="279"/>
      <c r="BX119" s="279"/>
      <c r="BY119" s="189"/>
      <c r="BZ119" s="189"/>
      <c r="CA119" s="190"/>
      <c r="CB119" s="189"/>
      <c r="CC119" s="194"/>
      <c r="CD119" s="281"/>
      <c r="CE119" s="279"/>
      <c r="CF119" s="279"/>
      <c r="CG119" s="189"/>
      <c r="CH119" s="189"/>
      <c r="CI119" s="190"/>
      <c r="CJ119" s="189"/>
      <c r="CK119" s="194"/>
      <c r="CL119" s="281"/>
      <c r="CM119" s="279"/>
      <c r="CN119" s="279"/>
      <c r="CO119" s="189"/>
      <c r="CP119" s="189"/>
      <c r="CQ119" s="190"/>
      <c r="CR119" s="189"/>
      <c r="CS119" s="194"/>
      <c r="CT119" s="281"/>
      <c r="CU119" s="279"/>
      <c r="CV119" s="279"/>
      <c r="CW119" s="189"/>
      <c r="CX119" s="189"/>
      <c r="CY119" s="190"/>
      <c r="CZ119" s="189"/>
      <c r="DA119" s="194"/>
      <c r="DB119" s="281"/>
      <c r="DC119" s="279"/>
      <c r="DD119" s="279"/>
      <c r="DE119" s="189"/>
      <c r="DF119" s="189"/>
      <c r="DG119" s="190"/>
      <c r="DH119" s="189"/>
      <c r="DI119" s="194"/>
      <c r="DJ119" s="281"/>
      <c r="DK119" s="279"/>
      <c r="DL119" s="279"/>
      <c r="DM119" s="189"/>
      <c r="DN119" s="189"/>
      <c r="DO119" s="190"/>
      <c r="DP119" s="189"/>
      <c r="DQ119" s="194"/>
      <c r="DR119" s="281"/>
      <c r="DS119" s="279"/>
      <c r="DT119" s="279"/>
      <c r="DU119" s="189"/>
      <c r="DV119" s="189"/>
      <c r="DW119" s="190"/>
      <c r="DX119" s="189"/>
      <c r="DY119" s="194"/>
      <c r="DZ119" s="281"/>
      <c r="EA119" s="279"/>
      <c r="EB119" s="279"/>
      <c r="EC119" s="189"/>
      <c r="ED119" s="189"/>
      <c r="EE119" s="190"/>
      <c r="EF119" s="189"/>
      <c r="EG119" s="194"/>
      <c r="EH119" s="281"/>
      <c r="EI119" s="279"/>
      <c r="EJ119" s="279"/>
      <c r="EK119" s="189"/>
      <c r="EL119" s="189"/>
      <c r="EM119" s="190"/>
      <c r="EN119" s="189"/>
      <c r="EO119" s="194"/>
      <c r="EP119" s="281"/>
      <c r="EQ119" s="279"/>
      <c r="ER119" s="279"/>
      <c r="ES119" s="189"/>
      <c r="ET119" s="189"/>
      <c r="EU119" s="190"/>
      <c r="EV119" s="189"/>
      <c r="EW119" s="194"/>
      <c r="EX119" s="281"/>
      <c r="EY119" s="279"/>
      <c r="EZ119" s="279"/>
      <c r="FA119" s="189"/>
      <c r="FB119" s="189"/>
      <c r="FC119" s="190"/>
      <c r="FD119" s="189"/>
      <c r="FE119" s="194"/>
      <c r="FF119" s="281"/>
      <c r="FG119" s="279"/>
      <c r="FH119" s="279"/>
      <c r="FI119" s="189"/>
      <c r="FJ119" s="189"/>
      <c r="FK119" s="190"/>
      <c r="FL119" s="189"/>
      <c r="FM119" s="194"/>
      <c r="FN119" s="281"/>
      <c r="FO119" s="279"/>
      <c r="FP119" s="279"/>
      <c r="FQ119" s="189"/>
      <c r="FR119" s="189"/>
      <c r="FS119" s="190"/>
      <c r="FT119" s="189"/>
      <c r="FU119" s="194"/>
      <c r="FV119" s="281"/>
      <c r="FW119" s="279"/>
      <c r="FX119" s="279"/>
      <c r="FY119" s="189"/>
      <c r="FZ119" s="189"/>
      <c r="GA119" s="190"/>
      <c r="GB119" s="189"/>
      <c r="GC119" s="194"/>
      <c r="GD119" s="281"/>
      <c r="GE119" s="279"/>
      <c r="GF119" s="279"/>
      <c r="GG119" s="189"/>
      <c r="GH119" s="189"/>
      <c r="GI119" s="190"/>
      <c r="GJ119" s="189"/>
      <c r="GK119" s="194"/>
      <c r="GL119" s="281"/>
      <c r="GM119" s="279"/>
      <c r="GN119" s="279"/>
      <c r="GO119" s="189"/>
      <c r="GP119" s="189"/>
      <c r="GQ119" s="190"/>
      <c r="GR119" s="189"/>
      <c r="GS119" s="194"/>
      <c r="GT119" s="281"/>
      <c r="GU119" s="279"/>
      <c r="GV119" s="279"/>
      <c r="GW119" s="189"/>
      <c r="GX119" s="189"/>
      <c r="GY119" s="190"/>
      <c r="GZ119" s="189"/>
      <c r="HA119" s="194"/>
      <c r="HB119" s="281"/>
      <c r="HC119" s="279"/>
      <c r="HD119" s="279"/>
      <c r="HE119" s="189"/>
      <c r="HF119" s="189"/>
      <c r="HG119" s="190"/>
      <c r="HH119" s="189"/>
      <c r="HI119" s="194"/>
      <c r="HJ119" s="281"/>
      <c r="HK119" s="279"/>
      <c r="HL119" s="279"/>
      <c r="HM119" s="189"/>
      <c r="HN119" s="189"/>
      <c r="HO119" s="190"/>
      <c r="HP119" s="189"/>
      <c r="HQ119" s="194"/>
      <c r="HR119" s="281"/>
      <c r="HS119" s="279"/>
      <c r="HT119" s="279"/>
      <c r="HU119" s="189"/>
      <c r="HV119" s="189"/>
      <c r="HW119" s="190"/>
      <c r="HX119" s="189"/>
      <c r="HY119" s="194"/>
      <c r="HZ119" s="281"/>
      <c r="IA119" s="279"/>
      <c r="IB119" s="279"/>
      <c r="IC119" s="189"/>
      <c r="ID119" s="189"/>
      <c r="IE119" s="190"/>
      <c r="IF119" s="189"/>
      <c r="IG119" s="194"/>
      <c r="IH119" s="281"/>
      <c r="II119" s="279"/>
      <c r="IJ119" s="279"/>
      <c r="IK119" s="189"/>
      <c r="IL119" s="189"/>
      <c r="IM119" s="190"/>
      <c r="IN119" s="189"/>
    </row>
    <row r="120" spans="1:248" s="188" customFormat="1" ht="12.75">
      <c r="A120" s="227"/>
      <c r="B120" s="51" t="s">
        <v>234</v>
      </c>
      <c r="C120" s="212" t="s">
        <v>61</v>
      </c>
      <c r="D120" s="212">
        <v>1245</v>
      </c>
      <c r="E120" s="215">
        <v>1</v>
      </c>
      <c r="F120" s="215">
        <v>1</v>
      </c>
      <c r="G120" s="260">
        <f t="shared" si="4"/>
        <v>1245</v>
      </c>
      <c r="H120" s="291">
        <v>72660</v>
      </c>
      <c r="I120" s="215" t="s">
        <v>635</v>
      </c>
      <c r="L120" s="281"/>
      <c r="M120" s="279"/>
      <c r="N120" s="189"/>
      <c r="O120" s="189"/>
      <c r="P120" s="189"/>
      <c r="Q120" s="194"/>
      <c r="R120" s="281"/>
      <c r="S120" s="279"/>
      <c r="T120" s="279"/>
      <c r="U120" s="189"/>
      <c r="V120" s="189"/>
      <c r="W120" s="189"/>
      <c r="X120" s="189"/>
      <c r="Y120" s="194"/>
      <c r="Z120" s="281"/>
      <c r="AA120" s="279"/>
      <c r="AB120" s="279"/>
      <c r="AC120" s="189"/>
      <c r="AD120" s="189"/>
      <c r="AE120" s="189"/>
      <c r="AF120" s="189"/>
      <c r="AG120" s="194"/>
      <c r="AH120" s="281"/>
      <c r="AI120" s="279"/>
      <c r="AJ120" s="279"/>
      <c r="AK120" s="189"/>
      <c r="AL120" s="189"/>
      <c r="AM120" s="189"/>
      <c r="AN120" s="189"/>
      <c r="AO120" s="194"/>
      <c r="AP120" s="281"/>
      <c r="AQ120" s="279"/>
      <c r="AR120" s="279"/>
      <c r="AS120" s="189"/>
      <c r="AT120" s="189"/>
      <c r="AU120" s="189"/>
      <c r="AV120" s="189"/>
      <c r="AW120" s="194"/>
      <c r="AX120" s="281"/>
      <c r="AY120" s="279"/>
      <c r="AZ120" s="279"/>
      <c r="BA120" s="189"/>
      <c r="BB120" s="189"/>
      <c r="BC120" s="189"/>
      <c r="BD120" s="189"/>
      <c r="BE120" s="194"/>
      <c r="BF120" s="281"/>
      <c r="BG120" s="279"/>
      <c r="BH120" s="279"/>
      <c r="BI120" s="189"/>
      <c r="BJ120" s="189"/>
      <c r="BK120" s="189"/>
      <c r="BL120" s="189"/>
      <c r="BM120" s="194"/>
      <c r="BN120" s="281"/>
      <c r="BO120" s="279"/>
      <c r="BP120" s="279"/>
      <c r="BQ120" s="189"/>
      <c r="BR120" s="189"/>
      <c r="BS120" s="189"/>
      <c r="BT120" s="189"/>
      <c r="BU120" s="194"/>
      <c r="BV120" s="281"/>
      <c r="BW120" s="279"/>
      <c r="BX120" s="279"/>
      <c r="BY120" s="189"/>
      <c r="BZ120" s="189"/>
      <c r="CA120" s="189"/>
      <c r="CB120" s="189"/>
      <c r="CC120" s="194"/>
      <c r="CD120" s="281"/>
      <c r="CE120" s="279"/>
      <c r="CF120" s="279"/>
      <c r="CG120" s="189"/>
      <c r="CH120" s="189"/>
      <c r="CI120" s="189"/>
      <c r="CJ120" s="189"/>
      <c r="CK120" s="194"/>
      <c r="CL120" s="281"/>
      <c r="CM120" s="279"/>
      <c r="CN120" s="279"/>
      <c r="CO120" s="189"/>
      <c r="CP120" s="189"/>
      <c r="CQ120" s="189"/>
      <c r="CR120" s="189"/>
      <c r="CS120" s="194"/>
      <c r="CT120" s="281"/>
      <c r="CU120" s="279"/>
      <c r="CV120" s="279"/>
      <c r="CW120" s="189"/>
      <c r="CX120" s="189"/>
      <c r="CY120" s="189"/>
      <c r="CZ120" s="189"/>
      <c r="DA120" s="194"/>
      <c r="DB120" s="281"/>
      <c r="DC120" s="279"/>
      <c r="DD120" s="279"/>
      <c r="DE120" s="189"/>
      <c r="DF120" s="189"/>
      <c r="DG120" s="189"/>
      <c r="DH120" s="189"/>
      <c r="DI120" s="194"/>
      <c r="DJ120" s="281"/>
      <c r="DK120" s="279"/>
      <c r="DL120" s="279"/>
      <c r="DM120" s="189"/>
      <c r="DN120" s="189"/>
      <c r="DO120" s="189"/>
      <c r="DP120" s="189"/>
      <c r="DQ120" s="194"/>
      <c r="DR120" s="281"/>
      <c r="DS120" s="279"/>
      <c r="DT120" s="279"/>
      <c r="DU120" s="189"/>
      <c r="DV120" s="189"/>
      <c r="DW120" s="189"/>
      <c r="DX120" s="189"/>
      <c r="DY120" s="194"/>
      <c r="DZ120" s="281"/>
      <c r="EA120" s="279"/>
      <c r="EB120" s="279"/>
      <c r="EC120" s="189"/>
      <c r="ED120" s="189"/>
      <c r="EE120" s="189"/>
      <c r="EF120" s="189"/>
      <c r="EG120" s="194"/>
      <c r="EH120" s="281"/>
      <c r="EI120" s="279"/>
      <c r="EJ120" s="279"/>
      <c r="EK120" s="189"/>
      <c r="EL120" s="189"/>
      <c r="EM120" s="189"/>
      <c r="EN120" s="189"/>
      <c r="EO120" s="194"/>
      <c r="EP120" s="281"/>
      <c r="EQ120" s="279"/>
      <c r="ER120" s="279"/>
      <c r="ES120" s="189"/>
      <c r="ET120" s="189"/>
      <c r="EU120" s="189"/>
      <c r="EV120" s="189"/>
      <c r="EW120" s="194"/>
      <c r="EX120" s="281"/>
      <c r="EY120" s="279"/>
      <c r="EZ120" s="279"/>
      <c r="FA120" s="189"/>
      <c r="FB120" s="189"/>
      <c r="FC120" s="189"/>
      <c r="FD120" s="189"/>
      <c r="FE120" s="194"/>
      <c r="FF120" s="281"/>
      <c r="FG120" s="279"/>
      <c r="FH120" s="279"/>
      <c r="FI120" s="189"/>
      <c r="FJ120" s="189"/>
      <c r="FK120" s="189"/>
      <c r="FL120" s="189"/>
      <c r="FM120" s="194"/>
      <c r="FN120" s="281"/>
      <c r="FO120" s="279"/>
      <c r="FP120" s="279"/>
      <c r="FQ120" s="189"/>
      <c r="FR120" s="189"/>
      <c r="FS120" s="189"/>
      <c r="FT120" s="189"/>
      <c r="FU120" s="194"/>
      <c r="FV120" s="281"/>
      <c r="FW120" s="279"/>
      <c r="FX120" s="279"/>
      <c r="FY120" s="189"/>
      <c r="FZ120" s="189"/>
      <c r="GA120" s="189"/>
      <c r="GB120" s="189"/>
      <c r="GC120" s="194"/>
      <c r="GD120" s="281"/>
      <c r="GE120" s="279"/>
      <c r="GF120" s="279"/>
      <c r="GG120" s="189"/>
      <c r="GH120" s="189"/>
      <c r="GI120" s="189"/>
      <c r="GJ120" s="189"/>
      <c r="GK120" s="194"/>
      <c r="GL120" s="281"/>
      <c r="GM120" s="279"/>
      <c r="GN120" s="279"/>
      <c r="GO120" s="189"/>
      <c r="GP120" s="189"/>
      <c r="GQ120" s="189"/>
      <c r="GR120" s="189"/>
      <c r="GS120" s="194"/>
      <c r="GT120" s="281"/>
      <c r="GU120" s="279"/>
      <c r="GV120" s="279"/>
      <c r="GW120" s="189"/>
      <c r="GX120" s="189"/>
      <c r="GY120" s="189"/>
      <c r="GZ120" s="189"/>
      <c r="HA120" s="194"/>
      <c r="HB120" s="281"/>
      <c r="HC120" s="279"/>
      <c r="HD120" s="279"/>
      <c r="HE120" s="189"/>
      <c r="HF120" s="189"/>
      <c r="HG120" s="189"/>
      <c r="HH120" s="189"/>
      <c r="HI120" s="194"/>
      <c r="HJ120" s="281"/>
      <c r="HK120" s="279"/>
      <c r="HL120" s="279"/>
      <c r="HM120" s="189"/>
      <c r="HN120" s="189"/>
      <c r="HO120" s="189"/>
      <c r="HP120" s="189"/>
      <c r="HQ120" s="194"/>
      <c r="HR120" s="281"/>
      <c r="HS120" s="279"/>
      <c r="HT120" s="279"/>
      <c r="HU120" s="189"/>
      <c r="HV120" s="189"/>
      <c r="HW120" s="189"/>
      <c r="HX120" s="189"/>
      <c r="HY120" s="194"/>
      <c r="HZ120" s="281"/>
      <c r="IA120" s="279"/>
      <c r="IB120" s="279"/>
      <c r="IC120" s="189"/>
      <c r="ID120" s="189"/>
      <c r="IE120" s="189"/>
      <c r="IF120" s="189"/>
      <c r="IG120" s="194"/>
      <c r="IH120" s="281"/>
      <c r="II120" s="279"/>
      <c r="IJ120" s="279"/>
      <c r="IK120" s="189"/>
      <c r="IL120" s="189"/>
      <c r="IM120" s="189"/>
      <c r="IN120" s="189"/>
    </row>
    <row r="121" spans="1:248" s="188" customFormat="1" ht="12.75">
      <c r="A121" s="227"/>
      <c r="B121" s="51" t="s">
        <v>355</v>
      </c>
      <c r="C121" s="212" t="s">
        <v>61</v>
      </c>
      <c r="D121" s="212">
        <v>336</v>
      </c>
      <c r="E121" s="215">
        <v>1</v>
      </c>
      <c r="F121" s="215">
        <v>1</v>
      </c>
      <c r="G121" s="260">
        <f t="shared" si="4"/>
        <v>336</v>
      </c>
      <c r="H121" s="291">
        <v>58100</v>
      </c>
      <c r="I121" s="215" t="s">
        <v>643</v>
      </c>
      <c r="L121" s="281"/>
      <c r="M121" s="279"/>
      <c r="N121" s="189"/>
      <c r="O121" s="189"/>
      <c r="P121" s="189"/>
      <c r="Q121" s="194"/>
      <c r="R121" s="281"/>
      <c r="S121" s="279"/>
      <c r="T121" s="279"/>
      <c r="U121" s="189"/>
      <c r="V121" s="189"/>
      <c r="W121" s="189"/>
      <c r="X121" s="189"/>
      <c r="Y121" s="194"/>
      <c r="Z121" s="281"/>
      <c r="AA121" s="279"/>
      <c r="AB121" s="279"/>
      <c r="AC121" s="189"/>
      <c r="AD121" s="189"/>
      <c r="AE121" s="189"/>
      <c r="AF121" s="189"/>
      <c r="AG121" s="194"/>
      <c r="AH121" s="281"/>
      <c r="AI121" s="279"/>
      <c r="AJ121" s="279"/>
      <c r="AK121" s="189"/>
      <c r="AL121" s="189"/>
      <c r="AM121" s="189"/>
      <c r="AN121" s="189"/>
      <c r="AO121" s="194"/>
      <c r="AP121" s="281"/>
      <c r="AQ121" s="279"/>
      <c r="AR121" s="279"/>
      <c r="AS121" s="189"/>
      <c r="AT121" s="189"/>
      <c r="AU121" s="189"/>
      <c r="AV121" s="189"/>
      <c r="AW121" s="194"/>
      <c r="AX121" s="281"/>
      <c r="AY121" s="279"/>
      <c r="AZ121" s="279"/>
      <c r="BA121" s="189"/>
      <c r="BB121" s="189"/>
      <c r="BC121" s="189"/>
      <c r="BD121" s="189"/>
      <c r="BE121" s="194"/>
      <c r="BF121" s="281"/>
      <c r="BG121" s="279"/>
      <c r="BH121" s="279"/>
      <c r="BI121" s="189"/>
      <c r="BJ121" s="189"/>
      <c r="BK121" s="189"/>
      <c r="BL121" s="189"/>
      <c r="BM121" s="194"/>
      <c r="BN121" s="281"/>
      <c r="BO121" s="279"/>
      <c r="BP121" s="279"/>
      <c r="BQ121" s="189"/>
      <c r="BR121" s="189"/>
      <c r="BS121" s="189"/>
      <c r="BT121" s="189"/>
      <c r="BU121" s="194"/>
      <c r="BV121" s="281"/>
      <c r="BW121" s="279"/>
      <c r="BX121" s="279"/>
      <c r="BY121" s="189"/>
      <c r="BZ121" s="189"/>
      <c r="CA121" s="189"/>
      <c r="CB121" s="189"/>
      <c r="CC121" s="194"/>
      <c r="CD121" s="281"/>
      <c r="CE121" s="279"/>
      <c r="CF121" s="279"/>
      <c r="CG121" s="189"/>
      <c r="CH121" s="189"/>
      <c r="CI121" s="189"/>
      <c r="CJ121" s="189"/>
      <c r="CK121" s="194"/>
      <c r="CL121" s="281"/>
      <c r="CM121" s="279"/>
      <c r="CN121" s="279"/>
      <c r="CO121" s="189"/>
      <c r="CP121" s="189"/>
      <c r="CQ121" s="189"/>
      <c r="CR121" s="189"/>
      <c r="CS121" s="194"/>
      <c r="CT121" s="281"/>
      <c r="CU121" s="279"/>
      <c r="CV121" s="279"/>
      <c r="CW121" s="189"/>
      <c r="CX121" s="189"/>
      <c r="CY121" s="189"/>
      <c r="CZ121" s="189"/>
      <c r="DA121" s="194"/>
      <c r="DB121" s="281"/>
      <c r="DC121" s="279"/>
      <c r="DD121" s="279"/>
      <c r="DE121" s="189"/>
      <c r="DF121" s="189"/>
      <c r="DG121" s="189"/>
      <c r="DH121" s="189"/>
      <c r="DI121" s="194"/>
      <c r="DJ121" s="281"/>
      <c r="DK121" s="279"/>
      <c r="DL121" s="279"/>
      <c r="DM121" s="189"/>
      <c r="DN121" s="189"/>
      <c r="DO121" s="189"/>
      <c r="DP121" s="189"/>
      <c r="DQ121" s="194"/>
      <c r="DR121" s="281"/>
      <c r="DS121" s="279"/>
      <c r="DT121" s="279"/>
      <c r="DU121" s="189"/>
      <c r="DV121" s="189"/>
      <c r="DW121" s="189"/>
      <c r="DX121" s="189"/>
      <c r="DY121" s="194"/>
      <c r="DZ121" s="281"/>
      <c r="EA121" s="279"/>
      <c r="EB121" s="279"/>
      <c r="EC121" s="189"/>
      <c r="ED121" s="189"/>
      <c r="EE121" s="189"/>
      <c r="EF121" s="189"/>
      <c r="EG121" s="194"/>
      <c r="EH121" s="281"/>
      <c r="EI121" s="279"/>
      <c r="EJ121" s="279"/>
      <c r="EK121" s="189"/>
      <c r="EL121" s="189"/>
      <c r="EM121" s="189"/>
      <c r="EN121" s="189"/>
      <c r="EO121" s="194"/>
      <c r="EP121" s="281"/>
      <c r="EQ121" s="279"/>
      <c r="ER121" s="279"/>
      <c r="ES121" s="189"/>
      <c r="ET121" s="189"/>
      <c r="EU121" s="189"/>
      <c r="EV121" s="189"/>
      <c r="EW121" s="194"/>
      <c r="EX121" s="281"/>
      <c r="EY121" s="279"/>
      <c r="EZ121" s="279"/>
      <c r="FA121" s="189"/>
      <c r="FB121" s="189"/>
      <c r="FC121" s="189"/>
      <c r="FD121" s="189"/>
      <c r="FE121" s="194"/>
      <c r="FF121" s="281"/>
      <c r="FG121" s="279"/>
      <c r="FH121" s="279"/>
      <c r="FI121" s="189"/>
      <c r="FJ121" s="189"/>
      <c r="FK121" s="189"/>
      <c r="FL121" s="189"/>
      <c r="FM121" s="194"/>
      <c r="FN121" s="281"/>
      <c r="FO121" s="279"/>
      <c r="FP121" s="279"/>
      <c r="FQ121" s="189"/>
      <c r="FR121" s="189"/>
      <c r="FS121" s="189"/>
      <c r="FT121" s="189"/>
      <c r="FU121" s="194"/>
      <c r="FV121" s="281"/>
      <c r="FW121" s="279"/>
      <c r="FX121" s="279"/>
      <c r="FY121" s="189"/>
      <c r="FZ121" s="189"/>
      <c r="GA121" s="189"/>
      <c r="GB121" s="189"/>
      <c r="GC121" s="194"/>
      <c r="GD121" s="281"/>
      <c r="GE121" s="279"/>
      <c r="GF121" s="279"/>
      <c r="GG121" s="189"/>
      <c r="GH121" s="189"/>
      <c r="GI121" s="189"/>
      <c r="GJ121" s="189"/>
      <c r="GK121" s="194"/>
      <c r="GL121" s="281"/>
      <c r="GM121" s="279"/>
      <c r="GN121" s="279"/>
      <c r="GO121" s="189"/>
      <c r="GP121" s="189"/>
      <c r="GQ121" s="189"/>
      <c r="GR121" s="189"/>
      <c r="GS121" s="194"/>
      <c r="GT121" s="281"/>
      <c r="GU121" s="279"/>
      <c r="GV121" s="279"/>
      <c r="GW121" s="189"/>
      <c r="GX121" s="189"/>
      <c r="GY121" s="189"/>
      <c r="GZ121" s="189"/>
      <c r="HA121" s="194"/>
      <c r="HB121" s="281"/>
      <c r="HC121" s="279"/>
      <c r="HD121" s="279"/>
      <c r="HE121" s="189"/>
      <c r="HF121" s="189"/>
      <c r="HG121" s="189"/>
      <c r="HH121" s="189"/>
      <c r="HI121" s="194"/>
      <c r="HJ121" s="281"/>
      <c r="HK121" s="279"/>
      <c r="HL121" s="279"/>
      <c r="HM121" s="189"/>
      <c r="HN121" s="189"/>
      <c r="HO121" s="189"/>
      <c r="HP121" s="189"/>
      <c r="HQ121" s="194"/>
      <c r="HR121" s="281"/>
      <c r="HS121" s="279"/>
      <c r="HT121" s="279"/>
      <c r="HU121" s="189"/>
      <c r="HV121" s="189"/>
      <c r="HW121" s="189"/>
      <c r="HX121" s="189"/>
      <c r="HY121" s="194"/>
      <c r="HZ121" s="281"/>
      <c r="IA121" s="279"/>
      <c r="IB121" s="279"/>
      <c r="IC121" s="189"/>
      <c r="ID121" s="189"/>
      <c r="IE121" s="189"/>
      <c r="IF121" s="189"/>
      <c r="IG121" s="194"/>
      <c r="IH121" s="281"/>
      <c r="II121" s="279"/>
      <c r="IJ121" s="279"/>
      <c r="IK121" s="189"/>
      <c r="IL121" s="189"/>
      <c r="IM121" s="189"/>
      <c r="IN121" s="189"/>
    </row>
    <row r="122" spans="1:248" s="188" customFormat="1" ht="12.75">
      <c r="A122" s="227"/>
      <c r="B122" s="51" t="s">
        <v>237</v>
      </c>
      <c r="C122" s="212" t="s">
        <v>61</v>
      </c>
      <c r="D122" s="212">
        <v>3330</v>
      </c>
      <c r="E122" s="215">
        <v>1</v>
      </c>
      <c r="F122" s="215">
        <v>1</v>
      </c>
      <c r="G122" s="260">
        <f t="shared" si="4"/>
        <v>3330</v>
      </c>
      <c r="H122" s="291">
        <v>296554</v>
      </c>
      <c r="I122" s="215" t="s">
        <v>634</v>
      </c>
      <c r="L122" s="281"/>
      <c r="M122" s="279"/>
      <c r="N122" s="189"/>
      <c r="O122" s="189"/>
      <c r="P122" s="189"/>
      <c r="Q122" s="194"/>
      <c r="R122" s="281"/>
      <c r="S122" s="279"/>
      <c r="T122" s="279"/>
      <c r="U122" s="189"/>
      <c r="V122" s="189"/>
      <c r="W122" s="189"/>
      <c r="X122" s="189"/>
      <c r="Y122" s="194"/>
      <c r="Z122" s="281"/>
      <c r="AA122" s="279"/>
      <c r="AB122" s="279"/>
      <c r="AC122" s="189"/>
      <c r="AD122" s="189"/>
      <c r="AE122" s="189"/>
      <c r="AF122" s="189"/>
      <c r="AG122" s="194"/>
      <c r="AH122" s="281"/>
      <c r="AI122" s="279"/>
      <c r="AJ122" s="279"/>
      <c r="AK122" s="189"/>
      <c r="AL122" s="189"/>
      <c r="AM122" s="189"/>
      <c r="AN122" s="189"/>
      <c r="AO122" s="194"/>
      <c r="AP122" s="281"/>
      <c r="AQ122" s="279"/>
      <c r="AR122" s="279"/>
      <c r="AS122" s="189"/>
      <c r="AT122" s="189"/>
      <c r="AU122" s="189"/>
      <c r="AV122" s="189"/>
      <c r="AW122" s="194"/>
      <c r="AX122" s="281"/>
      <c r="AY122" s="279"/>
      <c r="AZ122" s="279"/>
      <c r="BA122" s="189"/>
      <c r="BB122" s="189"/>
      <c r="BC122" s="189"/>
      <c r="BD122" s="189"/>
      <c r="BE122" s="194"/>
      <c r="BF122" s="281"/>
      <c r="BG122" s="279"/>
      <c r="BH122" s="279"/>
      <c r="BI122" s="189"/>
      <c r="BJ122" s="189"/>
      <c r="BK122" s="189"/>
      <c r="BL122" s="189"/>
      <c r="BM122" s="194"/>
      <c r="BN122" s="281"/>
      <c r="BO122" s="279"/>
      <c r="BP122" s="279"/>
      <c r="BQ122" s="189"/>
      <c r="BR122" s="189"/>
      <c r="BS122" s="189"/>
      <c r="BT122" s="189"/>
      <c r="BU122" s="194"/>
      <c r="BV122" s="281"/>
      <c r="BW122" s="279"/>
      <c r="BX122" s="279"/>
      <c r="BY122" s="189"/>
      <c r="BZ122" s="189"/>
      <c r="CA122" s="189"/>
      <c r="CB122" s="189"/>
      <c r="CC122" s="194"/>
      <c r="CD122" s="281"/>
      <c r="CE122" s="279"/>
      <c r="CF122" s="279"/>
      <c r="CG122" s="189"/>
      <c r="CH122" s="189"/>
      <c r="CI122" s="189"/>
      <c r="CJ122" s="189"/>
      <c r="CK122" s="194"/>
      <c r="CL122" s="281"/>
      <c r="CM122" s="279"/>
      <c r="CN122" s="279"/>
      <c r="CO122" s="189"/>
      <c r="CP122" s="189"/>
      <c r="CQ122" s="189"/>
      <c r="CR122" s="189"/>
      <c r="CS122" s="194"/>
      <c r="CT122" s="281"/>
      <c r="CU122" s="279"/>
      <c r="CV122" s="279"/>
      <c r="CW122" s="189"/>
      <c r="CX122" s="189"/>
      <c r="CY122" s="189"/>
      <c r="CZ122" s="189"/>
      <c r="DA122" s="194"/>
      <c r="DB122" s="281"/>
      <c r="DC122" s="279"/>
      <c r="DD122" s="279"/>
      <c r="DE122" s="189"/>
      <c r="DF122" s="189"/>
      <c r="DG122" s="189"/>
      <c r="DH122" s="189"/>
      <c r="DI122" s="194"/>
      <c r="DJ122" s="281"/>
      <c r="DK122" s="279"/>
      <c r="DL122" s="279"/>
      <c r="DM122" s="189"/>
      <c r="DN122" s="189"/>
      <c r="DO122" s="189"/>
      <c r="DP122" s="189"/>
      <c r="DQ122" s="194"/>
      <c r="DR122" s="281"/>
      <c r="DS122" s="279"/>
      <c r="DT122" s="279"/>
      <c r="DU122" s="189"/>
      <c r="DV122" s="189"/>
      <c r="DW122" s="189"/>
      <c r="DX122" s="189"/>
      <c r="DY122" s="194"/>
      <c r="DZ122" s="281"/>
      <c r="EA122" s="279"/>
      <c r="EB122" s="279"/>
      <c r="EC122" s="189"/>
      <c r="ED122" s="189"/>
      <c r="EE122" s="189"/>
      <c r="EF122" s="189"/>
      <c r="EG122" s="194"/>
      <c r="EH122" s="281"/>
      <c r="EI122" s="279"/>
      <c r="EJ122" s="279"/>
      <c r="EK122" s="189"/>
      <c r="EL122" s="189"/>
      <c r="EM122" s="189"/>
      <c r="EN122" s="189"/>
      <c r="EO122" s="194"/>
      <c r="EP122" s="281"/>
      <c r="EQ122" s="279"/>
      <c r="ER122" s="279"/>
      <c r="ES122" s="189"/>
      <c r="ET122" s="189"/>
      <c r="EU122" s="189"/>
      <c r="EV122" s="189"/>
      <c r="EW122" s="194"/>
      <c r="EX122" s="281"/>
      <c r="EY122" s="279"/>
      <c r="EZ122" s="279"/>
      <c r="FA122" s="189"/>
      <c r="FB122" s="189"/>
      <c r="FC122" s="189"/>
      <c r="FD122" s="189"/>
      <c r="FE122" s="194"/>
      <c r="FF122" s="281"/>
      <c r="FG122" s="279"/>
      <c r="FH122" s="279"/>
      <c r="FI122" s="189"/>
      <c r="FJ122" s="189"/>
      <c r="FK122" s="189"/>
      <c r="FL122" s="189"/>
      <c r="FM122" s="194"/>
      <c r="FN122" s="281"/>
      <c r="FO122" s="279"/>
      <c r="FP122" s="279"/>
      <c r="FQ122" s="189"/>
      <c r="FR122" s="189"/>
      <c r="FS122" s="189"/>
      <c r="FT122" s="189"/>
      <c r="FU122" s="194"/>
      <c r="FV122" s="281"/>
      <c r="FW122" s="279"/>
      <c r="FX122" s="279"/>
      <c r="FY122" s="189"/>
      <c r="FZ122" s="189"/>
      <c r="GA122" s="189"/>
      <c r="GB122" s="189"/>
      <c r="GC122" s="194"/>
      <c r="GD122" s="281"/>
      <c r="GE122" s="279"/>
      <c r="GF122" s="279"/>
      <c r="GG122" s="189"/>
      <c r="GH122" s="189"/>
      <c r="GI122" s="189"/>
      <c r="GJ122" s="189"/>
      <c r="GK122" s="194"/>
      <c r="GL122" s="281"/>
      <c r="GM122" s="279"/>
      <c r="GN122" s="279"/>
      <c r="GO122" s="189"/>
      <c r="GP122" s="189"/>
      <c r="GQ122" s="189"/>
      <c r="GR122" s="189"/>
      <c r="GS122" s="194"/>
      <c r="GT122" s="281"/>
      <c r="GU122" s="279"/>
      <c r="GV122" s="279"/>
      <c r="GW122" s="189"/>
      <c r="GX122" s="189"/>
      <c r="GY122" s="189"/>
      <c r="GZ122" s="189"/>
      <c r="HA122" s="194"/>
      <c r="HB122" s="281"/>
      <c r="HC122" s="279"/>
      <c r="HD122" s="279"/>
      <c r="HE122" s="189"/>
      <c r="HF122" s="189"/>
      <c r="HG122" s="189"/>
      <c r="HH122" s="189"/>
      <c r="HI122" s="194"/>
      <c r="HJ122" s="281"/>
      <c r="HK122" s="279"/>
      <c r="HL122" s="279"/>
      <c r="HM122" s="189"/>
      <c r="HN122" s="189"/>
      <c r="HO122" s="189"/>
      <c r="HP122" s="189"/>
      <c r="HQ122" s="194"/>
      <c r="HR122" s="281"/>
      <c r="HS122" s="279"/>
      <c r="HT122" s="279"/>
      <c r="HU122" s="189"/>
      <c r="HV122" s="189"/>
      <c r="HW122" s="189"/>
      <c r="HX122" s="189"/>
      <c r="HY122" s="194"/>
      <c r="HZ122" s="281"/>
      <c r="IA122" s="279"/>
      <c r="IB122" s="279"/>
      <c r="IC122" s="189"/>
      <c r="ID122" s="189"/>
      <c r="IE122" s="189"/>
      <c r="IF122" s="189"/>
      <c r="IG122" s="194"/>
      <c r="IH122" s="281"/>
      <c r="II122" s="279"/>
      <c r="IJ122" s="279"/>
      <c r="IK122" s="189"/>
      <c r="IL122" s="189"/>
      <c r="IM122" s="189"/>
      <c r="IN122" s="189"/>
    </row>
    <row r="123" spans="1:248" s="188" customFormat="1" ht="12.75" customHeight="1">
      <c r="A123" s="227"/>
      <c r="B123" s="51" t="s">
        <v>638</v>
      </c>
      <c r="C123" s="212" t="s">
        <v>61</v>
      </c>
      <c r="D123" s="215">
        <v>69</v>
      </c>
      <c r="E123" s="215">
        <v>1</v>
      </c>
      <c r="F123" s="215">
        <v>1</v>
      </c>
      <c r="G123" s="260">
        <f t="shared" si="4"/>
        <v>69</v>
      </c>
      <c r="H123" s="291">
        <v>1810</v>
      </c>
      <c r="I123" s="215" t="s">
        <v>640</v>
      </c>
      <c r="L123" s="281"/>
      <c r="M123" s="279"/>
      <c r="N123" s="189"/>
      <c r="O123" s="189"/>
      <c r="P123" s="189"/>
      <c r="Q123" s="194"/>
      <c r="R123" s="281"/>
      <c r="S123" s="279"/>
      <c r="T123" s="279"/>
      <c r="U123" s="189"/>
      <c r="V123" s="189"/>
      <c r="W123" s="189"/>
      <c r="X123" s="189"/>
      <c r="Y123" s="194"/>
      <c r="Z123" s="281"/>
      <c r="AA123" s="279"/>
      <c r="AB123" s="279"/>
      <c r="AC123" s="189"/>
      <c r="AD123" s="189"/>
      <c r="AE123" s="189"/>
      <c r="AF123" s="189"/>
      <c r="AG123" s="194"/>
      <c r="AH123" s="281"/>
      <c r="AI123" s="279"/>
      <c r="AJ123" s="279"/>
      <c r="AK123" s="189"/>
      <c r="AL123" s="189"/>
      <c r="AM123" s="189"/>
      <c r="AN123" s="189"/>
      <c r="AO123" s="194"/>
      <c r="AP123" s="281"/>
      <c r="AQ123" s="279"/>
      <c r="AR123" s="279"/>
      <c r="AS123" s="189"/>
      <c r="AT123" s="189"/>
      <c r="AU123" s="189"/>
      <c r="AV123" s="189"/>
      <c r="AW123" s="194"/>
      <c r="AX123" s="281"/>
      <c r="AY123" s="279"/>
      <c r="AZ123" s="279"/>
      <c r="BA123" s="189"/>
      <c r="BB123" s="189"/>
      <c r="BC123" s="189"/>
      <c r="BD123" s="189"/>
      <c r="BE123" s="194"/>
      <c r="BF123" s="281"/>
      <c r="BG123" s="279"/>
      <c r="BH123" s="279"/>
      <c r="BI123" s="189"/>
      <c r="BJ123" s="189"/>
      <c r="BK123" s="189"/>
      <c r="BL123" s="189"/>
      <c r="BM123" s="194"/>
      <c r="BN123" s="281"/>
      <c r="BO123" s="279"/>
      <c r="BP123" s="279"/>
      <c r="BQ123" s="189"/>
      <c r="BR123" s="189"/>
      <c r="BS123" s="189"/>
      <c r="BT123" s="189"/>
      <c r="BU123" s="194"/>
      <c r="BV123" s="281"/>
      <c r="BW123" s="279"/>
      <c r="BX123" s="279"/>
      <c r="BY123" s="189"/>
      <c r="BZ123" s="189"/>
      <c r="CA123" s="189"/>
      <c r="CB123" s="189"/>
      <c r="CC123" s="194"/>
      <c r="CD123" s="281"/>
      <c r="CE123" s="279"/>
      <c r="CF123" s="279"/>
      <c r="CG123" s="189"/>
      <c r="CH123" s="189"/>
      <c r="CI123" s="189"/>
      <c r="CJ123" s="189"/>
      <c r="CK123" s="194"/>
      <c r="CL123" s="281"/>
      <c r="CM123" s="279"/>
      <c r="CN123" s="279"/>
      <c r="CO123" s="189"/>
      <c r="CP123" s="189"/>
      <c r="CQ123" s="189"/>
      <c r="CR123" s="189"/>
      <c r="CS123" s="194"/>
      <c r="CT123" s="281"/>
      <c r="CU123" s="279"/>
      <c r="CV123" s="279"/>
      <c r="CW123" s="189"/>
      <c r="CX123" s="189"/>
      <c r="CY123" s="189"/>
      <c r="CZ123" s="189"/>
      <c r="DA123" s="194"/>
      <c r="DB123" s="281"/>
      <c r="DC123" s="279"/>
      <c r="DD123" s="279"/>
      <c r="DE123" s="189"/>
      <c r="DF123" s="189"/>
      <c r="DG123" s="189"/>
      <c r="DH123" s="189"/>
      <c r="DI123" s="194"/>
      <c r="DJ123" s="281"/>
      <c r="DK123" s="279"/>
      <c r="DL123" s="279"/>
      <c r="DM123" s="189"/>
      <c r="DN123" s="189"/>
      <c r="DO123" s="189"/>
      <c r="DP123" s="189"/>
      <c r="DQ123" s="194"/>
      <c r="DR123" s="281"/>
      <c r="DS123" s="279"/>
      <c r="DT123" s="279"/>
      <c r="DU123" s="189"/>
      <c r="DV123" s="189"/>
      <c r="DW123" s="189"/>
      <c r="DX123" s="189"/>
      <c r="DY123" s="194"/>
      <c r="DZ123" s="281"/>
      <c r="EA123" s="279"/>
      <c r="EB123" s="279"/>
      <c r="EC123" s="189"/>
      <c r="ED123" s="189"/>
      <c r="EE123" s="189"/>
      <c r="EF123" s="189"/>
      <c r="EG123" s="194"/>
      <c r="EH123" s="281"/>
      <c r="EI123" s="279"/>
      <c r="EJ123" s="279"/>
      <c r="EK123" s="189"/>
      <c r="EL123" s="189"/>
      <c r="EM123" s="189"/>
      <c r="EN123" s="189"/>
      <c r="EO123" s="194"/>
      <c r="EP123" s="281"/>
      <c r="EQ123" s="279"/>
      <c r="ER123" s="279"/>
      <c r="ES123" s="189"/>
      <c r="ET123" s="189"/>
      <c r="EU123" s="189"/>
      <c r="EV123" s="189"/>
      <c r="EW123" s="194"/>
      <c r="EX123" s="281"/>
      <c r="EY123" s="279"/>
      <c r="EZ123" s="279"/>
      <c r="FA123" s="189"/>
      <c r="FB123" s="189"/>
      <c r="FC123" s="189"/>
      <c r="FD123" s="189"/>
      <c r="FE123" s="194"/>
      <c r="FF123" s="281"/>
      <c r="FG123" s="279"/>
      <c r="FH123" s="279"/>
      <c r="FI123" s="189"/>
      <c r="FJ123" s="189"/>
      <c r="FK123" s="189"/>
      <c r="FL123" s="189"/>
      <c r="FM123" s="194"/>
      <c r="FN123" s="281"/>
      <c r="FO123" s="279"/>
      <c r="FP123" s="279"/>
      <c r="FQ123" s="189"/>
      <c r="FR123" s="189"/>
      <c r="FS123" s="189"/>
      <c r="FT123" s="189"/>
      <c r="FU123" s="194"/>
      <c r="FV123" s="281"/>
      <c r="FW123" s="279"/>
      <c r="FX123" s="279"/>
      <c r="FY123" s="189"/>
      <c r="FZ123" s="189"/>
      <c r="GA123" s="189"/>
      <c r="GB123" s="189"/>
      <c r="GC123" s="194"/>
      <c r="GD123" s="281"/>
      <c r="GE123" s="279"/>
      <c r="GF123" s="279"/>
      <c r="GG123" s="189"/>
      <c r="GH123" s="189"/>
      <c r="GI123" s="189"/>
      <c r="GJ123" s="189"/>
      <c r="GK123" s="194"/>
      <c r="GL123" s="281"/>
      <c r="GM123" s="279"/>
      <c r="GN123" s="279"/>
      <c r="GO123" s="189"/>
      <c r="GP123" s="189"/>
      <c r="GQ123" s="189"/>
      <c r="GR123" s="189"/>
      <c r="GS123" s="194"/>
      <c r="GT123" s="281"/>
      <c r="GU123" s="279"/>
      <c r="GV123" s="279"/>
      <c r="GW123" s="189"/>
      <c r="GX123" s="189"/>
      <c r="GY123" s="189"/>
      <c r="GZ123" s="189"/>
      <c r="HA123" s="194"/>
      <c r="HB123" s="281"/>
      <c r="HC123" s="279"/>
      <c r="HD123" s="279"/>
      <c r="HE123" s="189"/>
      <c r="HF123" s="189"/>
      <c r="HG123" s="189"/>
      <c r="HH123" s="189"/>
      <c r="HI123" s="194"/>
      <c r="HJ123" s="281"/>
      <c r="HK123" s="279"/>
      <c r="HL123" s="279"/>
      <c r="HM123" s="189"/>
      <c r="HN123" s="189"/>
      <c r="HO123" s="189"/>
      <c r="HP123" s="189"/>
      <c r="HQ123" s="194"/>
      <c r="HR123" s="281"/>
      <c r="HS123" s="279"/>
      <c r="HT123" s="279"/>
      <c r="HU123" s="189"/>
      <c r="HV123" s="189"/>
      <c r="HW123" s="189"/>
      <c r="HX123" s="189"/>
      <c r="HY123" s="194"/>
      <c r="HZ123" s="281"/>
      <c r="IA123" s="279"/>
      <c r="IB123" s="279"/>
      <c r="IC123" s="189"/>
      <c r="ID123" s="189"/>
      <c r="IE123" s="189"/>
      <c r="IF123" s="189"/>
      <c r="IG123" s="194"/>
      <c r="IH123" s="281"/>
      <c r="II123" s="279"/>
      <c r="IJ123" s="279"/>
      <c r="IK123" s="189"/>
      <c r="IL123" s="189"/>
      <c r="IM123" s="189"/>
      <c r="IN123" s="189"/>
    </row>
    <row r="124" spans="1:248" s="188" customFormat="1" ht="12.75" customHeight="1">
      <c r="A124" s="227"/>
      <c r="B124" s="51" t="s">
        <v>637</v>
      </c>
      <c r="C124" s="212" t="s">
        <v>61</v>
      </c>
      <c r="D124" s="215">
        <v>52</v>
      </c>
      <c r="E124" s="215">
        <v>1</v>
      </c>
      <c r="F124" s="215">
        <v>1</v>
      </c>
      <c r="G124" s="260">
        <f t="shared" si="4"/>
        <v>52</v>
      </c>
      <c r="H124" s="291">
        <v>1716</v>
      </c>
      <c r="I124" s="215" t="s">
        <v>639</v>
      </c>
      <c r="L124" s="281"/>
      <c r="M124" s="279"/>
      <c r="N124" s="189"/>
      <c r="O124" s="189"/>
      <c r="P124" s="189"/>
      <c r="Q124" s="194"/>
      <c r="R124" s="281"/>
      <c r="S124" s="279"/>
      <c r="T124" s="279"/>
      <c r="U124" s="189"/>
      <c r="V124" s="189"/>
      <c r="W124" s="189"/>
      <c r="X124" s="189"/>
      <c r="Y124" s="194"/>
      <c r="Z124" s="281"/>
      <c r="AA124" s="279"/>
      <c r="AB124" s="279"/>
      <c r="AC124" s="189"/>
      <c r="AD124" s="189"/>
      <c r="AE124" s="189"/>
      <c r="AF124" s="189"/>
      <c r="AG124" s="194"/>
      <c r="AH124" s="281"/>
      <c r="AI124" s="279"/>
      <c r="AJ124" s="279"/>
      <c r="AK124" s="189"/>
      <c r="AL124" s="189"/>
      <c r="AM124" s="189"/>
      <c r="AN124" s="189"/>
      <c r="AO124" s="194"/>
      <c r="AP124" s="281"/>
      <c r="AQ124" s="279"/>
      <c r="AR124" s="279"/>
      <c r="AS124" s="189"/>
      <c r="AT124" s="189"/>
      <c r="AU124" s="189"/>
      <c r="AV124" s="189"/>
      <c r="AW124" s="194"/>
      <c r="AX124" s="281"/>
      <c r="AY124" s="279"/>
      <c r="AZ124" s="279"/>
      <c r="BA124" s="189"/>
      <c r="BB124" s="189"/>
      <c r="BC124" s="189"/>
      <c r="BD124" s="189"/>
      <c r="BE124" s="194"/>
      <c r="BF124" s="281"/>
      <c r="BG124" s="279"/>
      <c r="BH124" s="279"/>
      <c r="BI124" s="189"/>
      <c r="BJ124" s="189"/>
      <c r="BK124" s="189"/>
      <c r="BL124" s="189"/>
      <c r="BM124" s="194"/>
      <c r="BN124" s="281"/>
      <c r="BO124" s="279"/>
      <c r="BP124" s="279"/>
      <c r="BQ124" s="189"/>
      <c r="BR124" s="189"/>
      <c r="BS124" s="189"/>
      <c r="BT124" s="189"/>
      <c r="BU124" s="194"/>
      <c r="BV124" s="281"/>
      <c r="BW124" s="279"/>
      <c r="BX124" s="279"/>
      <c r="BY124" s="189"/>
      <c r="BZ124" s="189"/>
      <c r="CA124" s="189"/>
      <c r="CB124" s="189"/>
      <c r="CC124" s="194"/>
      <c r="CD124" s="281"/>
      <c r="CE124" s="279"/>
      <c r="CF124" s="279"/>
      <c r="CG124" s="189"/>
      <c r="CH124" s="189"/>
      <c r="CI124" s="189"/>
      <c r="CJ124" s="189"/>
      <c r="CK124" s="194"/>
      <c r="CL124" s="281"/>
      <c r="CM124" s="279"/>
      <c r="CN124" s="279"/>
      <c r="CO124" s="189"/>
      <c r="CP124" s="189"/>
      <c r="CQ124" s="189"/>
      <c r="CR124" s="189"/>
      <c r="CS124" s="194"/>
      <c r="CT124" s="281"/>
      <c r="CU124" s="279"/>
      <c r="CV124" s="279"/>
      <c r="CW124" s="189"/>
      <c r="CX124" s="189"/>
      <c r="CY124" s="189"/>
      <c r="CZ124" s="189"/>
      <c r="DA124" s="194"/>
      <c r="DB124" s="281"/>
      <c r="DC124" s="279"/>
      <c r="DD124" s="279"/>
      <c r="DE124" s="189"/>
      <c r="DF124" s="189"/>
      <c r="DG124" s="189"/>
      <c r="DH124" s="189"/>
      <c r="DI124" s="194"/>
      <c r="DJ124" s="281"/>
      <c r="DK124" s="279"/>
      <c r="DL124" s="279"/>
      <c r="DM124" s="189"/>
      <c r="DN124" s="189"/>
      <c r="DO124" s="189"/>
      <c r="DP124" s="189"/>
      <c r="DQ124" s="194"/>
      <c r="DR124" s="281"/>
      <c r="DS124" s="279"/>
      <c r="DT124" s="279"/>
      <c r="DU124" s="189"/>
      <c r="DV124" s="189"/>
      <c r="DW124" s="189"/>
      <c r="DX124" s="189"/>
      <c r="DY124" s="194"/>
      <c r="DZ124" s="281"/>
      <c r="EA124" s="279"/>
      <c r="EB124" s="279"/>
      <c r="EC124" s="189"/>
      <c r="ED124" s="189"/>
      <c r="EE124" s="189"/>
      <c r="EF124" s="189"/>
      <c r="EG124" s="194"/>
      <c r="EH124" s="281"/>
      <c r="EI124" s="279"/>
      <c r="EJ124" s="279"/>
      <c r="EK124" s="189"/>
      <c r="EL124" s="189"/>
      <c r="EM124" s="189"/>
      <c r="EN124" s="189"/>
      <c r="EO124" s="194"/>
      <c r="EP124" s="281"/>
      <c r="EQ124" s="279"/>
      <c r="ER124" s="279"/>
      <c r="ES124" s="189"/>
      <c r="ET124" s="189"/>
      <c r="EU124" s="189"/>
      <c r="EV124" s="189"/>
      <c r="EW124" s="194"/>
      <c r="EX124" s="281"/>
      <c r="EY124" s="279"/>
      <c r="EZ124" s="279"/>
      <c r="FA124" s="189"/>
      <c r="FB124" s="189"/>
      <c r="FC124" s="189"/>
      <c r="FD124" s="189"/>
      <c r="FE124" s="194"/>
      <c r="FF124" s="281"/>
      <c r="FG124" s="279"/>
      <c r="FH124" s="279"/>
      <c r="FI124" s="189"/>
      <c r="FJ124" s="189"/>
      <c r="FK124" s="189"/>
      <c r="FL124" s="189"/>
      <c r="FM124" s="194"/>
      <c r="FN124" s="281"/>
      <c r="FO124" s="279"/>
      <c r="FP124" s="279"/>
      <c r="FQ124" s="189"/>
      <c r="FR124" s="189"/>
      <c r="FS124" s="189"/>
      <c r="FT124" s="189"/>
      <c r="FU124" s="194"/>
      <c r="FV124" s="281"/>
      <c r="FW124" s="279"/>
      <c r="FX124" s="279"/>
      <c r="FY124" s="189"/>
      <c r="FZ124" s="189"/>
      <c r="GA124" s="189"/>
      <c r="GB124" s="189"/>
      <c r="GC124" s="194"/>
      <c r="GD124" s="281"/>
      <c r="GE124" s="279"/>
      <c r="GF124" s="279"/>
      <c r="GG124" s="189"/>
      <c r="GH124" s="189"/>
      <c r="GI124" s="189"/>
      <c r="GJ124" s="189"/>
      <c r="GK124" s="194"/>
      <c r="GL124" s="281"/>
      <c r="GM124" s="279"/>
      <c r="GN124" s="279"/>
      <c r="GO124" s="189"/>
      <c r="GP124" s="189"/>
      <c r="GQ124" s="189"/>
      <c r="GR124" s="189"/>
      <c r="GS124" s="194"/>
      <c r="GT124" s="281"/>
      <c r="GU124" s="279"/>
      <c r="GV124" s="279"/>
      <c r="GW124" s="189"/>
      <c r="GX124" s="189"/>
      <c r="GY124" s="189"/>
      <c r="GZ124" s="189"/>
      <c r="HA124" s="194"/>
      <c r="HB124" s="281"/>
      <c r="HC124" s="279"/>
      <c r="HD124" s="279"/>
      <c r="HE124" s="189"/>
      <c r="HF124" s="189"/>
      <c r="HG124" s="189"/>
      <c r="HH124" s="189"/>
      <c r="HI124" s="194"/>
      <c r="HJ124" s="281"/>
      <c r="HK124" s="279"/>
      <c r="HL124" s="279"/>
      <c r="HM124" s="189"/>
      <c r="HN124" s="189"/>
      <c r="HO124" s="189"/>
      <c r="HP124" s="189"/>
      <c r="HQ124" s="194"/>
      <c r="HR124" s="281"/>
      <c r="HS124" s="279"/>
      <c r="HT124" s="279"/>
      <c r="HU124" s="189"/>
      <c r="HV124" s="189"/>
      <c r="HW124" s="189"/>
      <c r="HX124" s="189"/>
      <c r="HY124" s="194"/>
      <c r="HZ124" s="281"/>
      <c r="IA124" s="279"/>
      <c r="IB124" s="279"/>
      <c r="IC124" s="189"/>
      <c r="ID124" s="189"/>
      <c r="IE124" s="189"/>
      <c r="IF124" s="189"/>
      <c r="IG124" s="194"/>
      <c r="IH124" s="281"/>
      <c r="II124" s="279"/>
      <c r="IJ124" s="279"/>
      <c r="IK124" s="189"/>
      <c r="IL124" s="189"/>
      <c r="IM124" s="189"/>
      <c r="IN124" s="189"/>
    </row>
    <row r="125" spans="1:248" s="188" customFormat="1" ht="12.75">
      <c r="A125" s="227"/>
      <c r="B125" s="51" t="s">
        <v>353</v>
      </c>
      <c r="C125" s="212" t="s">
        <v>61</v>
      </c>
      <c r="D125" s="212">
        <v>102</v>
      </c>
      <c r="E125" s="215">
        <v>1</v>
      </c>
      <c r="F125" s="215">
        <v>1</v>
      </c>
      <c r="G125" s="260">
        <f t="shared" si="4"/>
        <v>102</v>
      </c>
      <c r="H125" s="291">
        <v>15306</v>
      </c>
      <c r="I125" s="212" t="s">
        <v>636</v>
      </c>
      <c r="L125" s="281"/>
      <c r="M125" s="279"/>
      <c r="N125" s="189"/>
      <c r="O125" s="189"/>
      <c r="P125" s="189"/>
      <c r="Q125" s="194"/>
      <c r="R125" s="281"/>
      <c r="S125" s="279"/>
      <c r="T125" s="279"/>
      <c r="U125" s="189"/>
      <c r="V125" s="189"/>
      <c r="W125" s="189"/>
      <c r="X125" s="189"/>
      <c r="Y125" s="194"/>
      <c r="Z125" s="281"/>
      <c r="AA125" s="279"/>
      <c r="AB125" s="279"/>
      <c r="AC125" s="189"/>
      <c r="AD125" s="189"/>
      <c r="AE125" s="189"/>
      <c r="AF125" s="189"/>
      <c r="AG125" s="194"/>
      <c r="AH125" s="281"/>
      <c r="AI125" s="279"/>
      <c r="AJ125" s="279"/>
      <c r="AK125" s="189"/>
      <c r="AL125" s="189"/>
      <c r="AM125" s="189"/>
      <c r="AN125" s="189"/>
      <c r="AO125" s="194"/>
      <c r="AP125" s="281"/>
      <c r="AQ125" s="279"/>
      <c r="AR125" s="279"/>
      <c r="AS125" s="189"/>
      <c r="AT125" s="189"/>
      <c r="AU125" s="189"/>
      <c r="AV125" s="189"/>
      <c r="AW125" s="194"/>
      <c r="AX125" s="281"/>
      <c r="AY125" s="279"/>
      <c r="AZ125" s="279"/>
      <c r="BA125" s="189"/>
      <c r="BB125" s="189"/>
      <c r="BC125" s="189"/>
      <c r="BD125" s="189"/>
      <c r="BE125" s="194"/>
      <c r="BF125" s="281"/>
      <c r="BG125" s="279"/>
      <c r="BH125" s="279"/>
      <c r="BI125" s="189"/>
      <c r="BJ125" s="189"/>
      <c r="BK125" s="189"/>
      <c r="BL125" s="189"/>
      <c r="BM125" s="194"/>
      <c r="BN125" s="281"/>
      <c r="BO125" s="279"/>
      <c r="BP125" s="279"/>
      <c r="BQ125" s="189"/>
      <c r="BR125" s="189"/>
      <c r="BS125" s="189"/>
      <c r="BT125" s="189"/>
      <c r="BU125" s="194"/>
      <c r="BV125" s="281"/>
      <c r="BW125" s="279"/>
      <c r="BX125" s="279"/>
      <c r="BY125" s="189"/>
      <c r="BZ125" s="189"/>
      <c r="CA125" s="189"/>
      <c r="CB125" s="189"/>
      <c r="CC125" s="194"/>
      <c r="CD125" s="281"/>
      <c r="CE125" s="279"/>
      <c r="CF125" s="279"/>
      <c r="CG125" s="189"/>
      <c r="CH125" s="189"/>
      <c r="CI125" s="189"/>
      <c r="CJ125" s="189"/>
      <c r="CK125" s="194"/>
      <c r="CL125" s="281"/>
      <c r="CM125" s="279"/>
      <c r="CN125" s="279"/>
      <c r="CO125" s="189"/>
      <c r="CP125" s="189"/>
      <c r="CQ125" s="189"/>
      <c r="CR125" s="189"/>
      <c r="CS125" s="194"/>
      <c r="CT125" s="281"/>
      <c r="CU125" s="279"/>
      <c r="CV125" s="279"/>
      <c r="CW125" s="189"/>
      <c r="CX125" s="189"/>
      <c r="CY125" s="189"/>
      <c r="CZ125" s="189"/>
      <c r="DA125" s="194"/>
      <c r="DB125" s="281"/>
      <c r="DC125" s="279"/>
      <c r="DD125" s="279"/>
      <c r="DE125" s="189"/>
      <c r="DF125" s="189"/>
      <c r="DG125" s="189"/>
      <c r="DH125" s="189"/>
      <c r="DI125" s="194"/>
      <c r="DJ125" s="281"/>
      <c r="DK125" s="279"/>
      <c r="DL125" s="279"/>
      <c r="DM125" s="189"/>
      <c r="DN125" s="189"/>
      <c r="DO125" s="189"/>
      <c r="DP125" s="189"/>
      <c r="DQ125" s="194"/>
      <c r="DR125" s="281"/>
      <c r="DS125" s="279"/>
      <c r="DT125" s="279"/>
      <c r="DU125" s="189"/>
      <c r="DV125" s="189"/>
      <c r="DW125" s="189"/>
      <c r="DX125" s="189"/>
      <c r="DY125" s="194"/>
      <c r="DZ125" s="281"/>
      <c r="EA125" s="279"/>
      <c r="EB125" s="279"/>
      <c r="EC125" s="189"/>
      <c r="ED125" s="189"/>
      <c r="EE125" s="189"/>
      <c r="EF125" s="189"/>
      <c r="EG125" s="194"/>
      <c r="EH125" s="281"/>
      <c r="EI125" s="279"/>
      <c r="EJ125" s="279"/>
      <c r="EK125" s="189"/>
      <c r="EL125" s="189"/>
      <c r="EM125" s="189"/>
      <c r="EN125" s="189"/>
      <c r="EO125" s="194"/>
      <c r="EP125" s="281"/>
      <c r="EQ125" s="279"/>
      <c r="ER125" s="279"/>
      <c r="ES125" s="189"/>
      <c r="ET125" s="189"/>
      <c r="EU125" s="189"/>
      <c r="EV125" s="189"/>
      <c r="EW125" s="194"/>
      <c r="EX125" s="281"/>
      <c r="EY125" s="279"/>
      <c r="EZ125" s="279"/>
      <c r="FA125" s="189"/>
      <c r="FB125" s="189"/>
      <c r="FC125" s="189"/>
      <c r="FD125" s="189"/>
      <c r="FE125" s="194"/>
      <c r="FF125" s="281"/>
      <c r="FG125" s="279"/>
      <c r="FH125" s="279"/>
      <c r="FI125" s="189"/>
      <c r="FJ125" s="189"/>
      <c r="FK125" s="189"/>
      <c r="FL125" s="189"/>
      <c r="FM125" s="194"/>
      <c r="FN125" s="281"/>
      <c r="FO125" s="279"/>
      <c r="FP125" s="279"/>
      <c r="FQ125" s="189"/>
      <c r="FR125" s="189"/>
      <c r="FS125" s="189"/>
      <c r="FT125" s="189"/>
      <c r="FU125" s="194"/>
      <c r="FV125" s="281"/>
      <c r="FW125" s="279"/>
      <c r="FX125" s="279"/>
      <c r="FY125" s="189"/>
      <c r="FZ125" s="189"/>
      <c r="GA125" s="189"/>
      <c r="GB125" s="189"/>
      <c r="GC125" s="194"/>
      <c r="GD125" s="281"/>
      <c r="GE125" s="279"/>
      <c r="GF125" s="279"/>
      <c r="GG125" s="189"/>
      <c r="GH125" s="189"/>
      <c r="GI125" s="189"/>
      <c r="GJ125" s="189"/>
      <c r="GK125" s="194"/>
      <c r="GL125" s="281"/>
      <c r="GM125" s="279"/>
      <c r="GN125" s="279"/>
      <c r="GO125" s="189"/>
      <c r="GP125" s="189"/>
      <c r="GQ125" s="189"/>
      <c r="GR125" s="189"/>
      <c r="GS125" s="194"/>
      <c r="GT125" s="281"/>
      <c r="GU125" s="279"/>
      <c r="GV125" s="279"/>
      <c r="GW125" s="189"/>
      <c r="GX125" s="189"/>
      <c r="GY125" s="189"/>
      <c r="GZ125" s="189"/>
      <c r="HA125" s="194"/>
      <c r="HB125" s="281"/>
      <c r="HC125" s="279"/>
      <c r="HD125" s="279"/>
      <c r="HE125" s="189"/>
      <c r="HF125" s="189"/>
      <c r="HG125" s="189"/>
      <c r="HH125" s="189"/>
      <c r="HI125" s="194"/>
      <c r="HJ125" s="281"/>
      <c r="HK125" s="279"/>
      <c r="HL125" s="279"/>
      <c r="HM125" s="189"/>
      <c r="HN125" s="189"/>
      <c r="HO125" s="189"/>
      <c r="HP125" s="189"/>
      <c r="HQ125" s="194"/>
      <c r="HR125" s="281"/>
      <c r="HS125" s="279"/>
      <c r="HT125" s="279"/>
      <c r="HU125" s="189"/>
      <c r="HV125" s="189"/>
      <c r="HW125" s="189"/>
      <c r="HX125" s="189"/>
      <c r="HY125" s="194"/>
      <c r="HZ125" s="281"/>
      <c r="IA125" s="279"/>
      <c r="IB125" s="279"/>
      <c r="IC125" s="189"/>
      <c r="ID125" s="189"/>
      <c r="IE125" s="189"/>
      <c r="IF125" s="189"/>
      <c r="IG125" s="194"/>
      <c r="IH125" s="281"/>
      <c r="II125" s="279"/>
      <c r="IJ125" s="279"/>
      <c r="IK125" s="189"/>
      <c r="IL125" s="189"/>
      <c r="IM125" s="189"/>
      <c r="IN125" s="189"/>
    </row>
    <row r="126" spans="1:248" s="188" customFormat="1" ht="12.75">
      <c r="A126" s="227"/>
      <c r="B126" s="51" t="s">
        <v>354</v>
      </c>
      <c r="C126" s="212" t="s">
        <v>61</v>
      </c>
      <c r="D126" s="212">
        <v>213</v>
      </c>
      <c r="E126" s="215">
        <v>1</v>
      </c>
      <c r="F126" s="215">
        <v>1</v>
      </c>
      <c r="G126" s="260">
        <f t="shared" si="4"/>
        <v>213</v>
      </c>
      <c r="H126" s="291">
        <v>6345</v>
      </c>
      <c r="I126" s="212" t="s">
        <v>641</v>
      </c>
      <c r="L126" s="281"/>
      <c r="M126" s="279"/>
      <c r="N126" s="189"/>
      <c r="O126" s="189"/>
      <c r="P126" s="189"/>
      <c r="Q126" s="194"/>
      <c r="R126" s="281"/>
      <c r="S126" s="279"/>
      <c r="T126" s="279"/>
      <c r="U126" s="189"/>
      <c r="V126" s="189"/>
      <c r="W126" s="189"/>
      <c r="X126" s="189"/>
      <c r="Y126" s="194"/>
      <c r="Z126" s="281"/>
      <c r="AA126" s="279"/>
      <c r="AB126" s="279"/>
      <c r="AC126" s="189"/>
      <c r="AD126" s="189"/>
      <c r="AE126" s="189"/>
      <c r="AF126" s="189"/>
      <c r="AG126" s="194"/>
      <c r="AH126" s="281"/>
      <c r="AI126" s="279"/>
      <c r="AJ126" s="279"/>
      <c r="AK126" s="189"/>
      <c r="AL126" s="189"/>
      <c r="AM126" s="189"/>
      <c r="AN126" s="189"/>
      <c r="AO126" s="194"/>
      <c r="AP126" s="281"/>
      <c r="AQ126" s="279"/>
      <c r="AR126" s="279"/>
      <c r="AS126" s="189"/>
      <c r="AT126" s="189"/>
      <c r="AU126" s="189"/>
      <c r="AV126" s="189"/>
      <c r="AW126" s="194"/>
      <c r="AX126" s="281"/>
      <c r="AY126" s="279"/>
      <c r="AZ126" s="279"/>
      <c r="BA126" s="189"/>
      <c r="BB126" s="189"/>
      <c r="BC126" s="189"/>
      <c r="BD126" s="189"/>
      <c r="BE126" s="194"/>
      <c r="BF126" s="281"/>
      <c r="BG126" s="279"/>
      <c r="BH126" s="279"/>
      <c r="BI126" s="189"/>
      <c r="BJ126" s="189"/>
      <c r="BK126" s="189"/>
      <c r="BL126" s="189"/>
      <c r="BM126" s="194"/>
      <c r="BN126" s="281"/>
      <c r="BO126" s="279"/>
      <c r="BP126" s="279"/>
      <c r="BQ126" s="189"/>
      <c r="BR126" s="189"/>
      <c r="BS126" s="189"/>
      <c r="BT126" s="189"/>
      <c r="BU126" s="194"/>
      <c r="BV126" s="281"/>
      <c r="BW126" s="279"/>
      <c r="BX126" s="279"/>
      <c r="BY126" s="189"/>
      <c r="BZ126" s="189"/>
      <c r="CA126" s="189"/>
      <c r="CB126" s="189"/>
      <c r="CC126" s="194"/>
      <c r="CD126" s="281"/>
      <c r="CE126" s="279"/>
      <c r="CF126" s="279"/>
      <c r="CG126" s="189"/>
      <c r="CH126" s="189"/>
      <c r="CI126" s="189"/>
      <c r="CJ126" s="189"/>
      <c r="CK126" s="194"/>
      <c r="CL126" s="281"/>
      <c r="CM126" s="279"/>
      <c r="CN126" s="279"/>
      <c r="CO126" s="189"/>
      <c r="CP126" s="189"/>
      <c r="CQ126" s="189"/>
      <c r="CR126" s="189"/>
      <c r="CS126" s="194"/>
      <c r="CT126" s="281"/>
      <c r="CU126" s="279"/>
      <c r="CV126" s="279"/>
      <c r="CW126" s="189"/>
      <c r="CX126" s="189"/>
      <c r="CY126" s="189"/>
      <c r="CZ126" s="189"/>
      <c r="DA126" s="194"/>
      <c r="DB126" s="281"/>
      <c r="DC126" s="279"/>
      <c r="DD126" s="279"/>
      <c r="DE126" s="189"/>
      <c r="DF126" s="189"/>
      <c r="DG126" s="189"/>
      <c r="DH126" s="189"/>
      <c r="DI126" s="194"/>
      <c r="DJ126" s="281"/>
      <c r="DK126" s="279"/>
      <c r="DL126" s="279"/>
      <c r="DM126" s="189"/>
      <c r="DN126" s="189"/>
      <c r="DO126" s="189"/>
      <c r="DP126" s="189"/>
      <c r="DQ126" s="194"/>
      <c r="DR126" s="281"/>
      <c r="DS126" s="279"/>
      <c r="DT126" s="279"/>
      <c r="DU126" s="189"/>
      <c r="DV126" s="189"/>
      <c r="DW126" s="189"/>
      <c r="DX126" s="189"/>
      <c r="DY126" s="194"/>
      <c r="DZ126" s="281"/>
      <c r="EA126" s="279"/>
      <c r="EB126" s="279"/>
      <c r="EC126" s="189"/>
      <c r="ED126" s="189"/>
      <c r="EE126" s="189"/>
      <c r="EF126" s="189"/>
      <c r="EG126" s="194"/>
      <c r="EH126" s="281"/>
      <c r="EI126" s="279"/>
      <c r="EJ126" s="279"/>
      <c r="EK126" s="189"/>
      <c r="EL126" s="189"/>
      <c r="EM126" s="189"/>
      <c r="EN126" s="189"/>
      <c r="EO126" s="194"/>
      <c r="EP126" s="281"/>
      <c r="EQ126" s="279"/>
      <c r="ER126" s="279"/>
      <c r="ES126" s="189"/>
      <c r="ET126" s="189"/>
      <c r="EU126" s="189"/>
      <c r="EV126" s="189"/>
      <c r="EW126" s="194"/>
      <c r="EX126" s="281"/>
      <c r="EY126" s="279"/>
      <c r="EZ126" s="279"/>
      <c r="FA126" s="189"/>
      <c r="FB126" s="189"/>
      <c r="FC126" s="189"/>
      <c r="FD126" s="189"/>
      <c r="FE126" s="194"/>
      <c r="FF126" s="281"/>
      <c r="FG126" s="279"/>
      <c r="FH126" s="279"/>
      <c r="FI126" s="189"/>
      <c r="FJ126" s="189"/>
      <c r="FK126" s="189"/>
      <c r="FL126" s="189"/>
      <c r="FM126" s="194"/>
      <c r="FN126" s="281"/>
      <c r="FO126" s="279"/>
      <c r="FP126" s="279"/>
      <c r="FQ126" s="189"/>
      <c r="FR126" s="189"/>
      <c r="FS126" s="189"/>
      <c r="FT126" s="189"/>
      <c r="FU126" s="194"/>
      <c r="FV126" s="281"/>
      <c r="FW126" s="279"/>
      <c r="FX126" s="279"/>
      <c r="FY126" s="189"/>
      <c r="FZ126" s="189"/>
      <c r="GA126" s="189"/>
      <c r="GB126" s="189"/>
      <c r="GC126" s="194"/>
      <c r="GD126" s="281"/>
      <c r="GE126" s="279"/>
      <c r="GF126" s="279"/>
      <c r="GG126" s="189"/>
      <c r="GH126" s="189"/>
      <c r="GI126" s="189"/>
      <c r="GJ126" s="189"/>
      <c r="GK126" s="194"/>
      <c r="GL126" s="281"/>
      <c r="GM126" s="279"/>
      <c r="GN126" s="279"/>
      <c r="GO126" s="189"/>
      <c r="GP126" s="189"/>
      <c r="GQ126" s="189"/>
      <c r="GR126" s="189"/>
      <c r="GS126" s="194"/>
      <c r="GT126" s="281"/>
      <c r="GU126" s="279"/>
      <c r="GV126" s="279"/>
      <c r="GW126" s="189"/>
      <c r="GX126" s="189"/>
      <c r="GY126" s="189"/>
      <c r="GZ126" s="189"/>
      <c r="HA126" s="194"/>
      <c r="HB126" s="281"/>
      <c r="HC126" s="279"/>
      <c r="HD126" s="279"/>
      <c r="HE126" s="189"/>
      <c r="HF126" s="189"/>
      <c r="HG126" s="189"/>
      <c r="HH126" s="189"/>
      <c r="HI126" s="194"/>
      <c r="HJ126" s="281"/>
      <c r="HK126" s="279"/>
      <c r="HL126" s="279"/>
      <c r="HM126" s="189"/>
      <c r="HN126" s="189"/>
      <c r="HO126" s="189"/>
      <c r="HP126" s="189"/>
      <c r="HQ126" s="194"/>
      <c r="HR126" s="281"/>
      <c r="HS126" s="279"/>
      <c r="HT126" s="279"/>
      <c r="HU126" s="189"/>
      <c r="HV126" s="189"/>
      <c r="HW126" s="189"/>
      <c r="HX126" s="189"/>
      <c r="HY126" s="194"/>
      <c r="HZ126" s="281"/>
      <c r="IA126" s="279"/>
      <c r="IB126" s="279"/>
      <c r="IC126" s="189"/>
      <c r="ID126" s="189"/>
      <c r="IE126" s="189"/>
      <c r="IF126" s="189"/>
      <c r="IG126" s="194"/>
      <c r="IH126" s="281"/>
      <c r="II126" s="279"/>
      <c r="IJ126" s="279"/>
      <c r="IK126" s="189"/>
      <c r="IL126" s="189"/>
      <c r="IM126" s="189"/>
      <c r="IN126" s="189"/>
    </row>
    <row r="127" spans="1:248" s="188" customFormat="1" ht="12.75">
      <c r="A127" s="227"/>
      <c r="B127" s="51" t="s">
        <v>650</v>
      </c>
      <c r="C127" s="212" t="s">
        <v>61</v>
      </c>
      <c r="D127" s="212">
        <v>41</v>
      </c>
      <c r="E127" s="215">
        <v>1</v>
      </c>
      <c r="F127" s="215">
        <v>1</v>
      </c>
      <c r="G127" s="260">
        <f t="shared" si="4"/>
        <v>41</v>
      </c>
      <c r="H127" s="291">
        <v>4803</v>
      </c>
      <c r="I127" s="212" t="s">
        <v>651</v>
      </c>
      <c r="L127" s="281"/>
      <c r="M127" s="279"/>
      <c r="N127" s="189"/>
      <c r="O127" s="189"/>
      <c r="P127" s="189"/>
      <c r="Q127" s="194"/>
      <c r="R127" s="281"/>
      <c r="S127" s="279"/>
      <c r="T127" s="279"/>
      <c r="U127" s="189"/>
      <c r="V127" s="189"/>
      <c r="W127" s="189"/>
      <c r="X127" s="189"/>
      <c r="Y127" s="194"/>
      <c r="Z127" s="281"/>
      <c r="AA127" s="279"/>
      <c r="AB127" s="279"/>
      <c r="AC127" s="189"/>
      <c r="AD127" s="189"/>
      <c r="AE127" s="189"/>
      <c r="AF127" s="189"/>
      <c r="AG127" s="194"/>
      <c r="AH127" s="281"/>
      <c r="AI127" s="279"/>
      <c r="AJ127" s="279"/>
      <c r="AK127" s="189"/>
      <c r="AL127" s="189"/>
      <c r="AM127" s="189"/>
      <c r="AN127" s="189"/>
      <c r="AO127" s="194"/>
      <c r="AP127" s="281"/>
      <c r="AQ127" s="279"/>
      <c r="AR127" s="279"/>
      <c r="AS127" s="189"/>
      <c r="AT127" s="189"/>
      <c r="AU127" s="189"/>
      <c r="AV127" s="189"/>
      <c r="AW127" s="194"/>
      <c r="AX127" s="281"/>
      <c r="AY127" s="279"/>
      <c r="AZ127" s="279"/>
      <c r="BA127" s="189"/>
      <c r="BB127" s="189"/>
      <c r="BC127" s="189"/>
      <c r="BD127" s="189"/>
      <c r="BE127" s="194"/>
      <c r="BF127" s="281"/>
      <c r="BG127" s="279"/>
      <c r="BH127" s="279"/>
      <c r="BI127" s="189"/>
      <c r="BJ127" s="189"/>
      <c r="BK127" s="189"/>
      <c r="BL127" s="189"/>
      <c r="BM127" s="194"/>
      <c r="BN127" s="281"/>
      <c r="BO127" s="279"/>
      <c r="BP127" s="279"/>
      <c r="BQ127" s="189"/>
      <c r="BR127" s="189"/>
      <c r="BS127" s="189"/>
      <c r="BT127" s="189"/>
      <c r="BU127" s="194"/>
      <c r="BV127" s="281"/>
      <c r="BW127" s="279"/>
      <c r="BX127" s="279"/>
      <c r="BY127" s="189"/>
      <c r="BZ127" s="189"/>
      <c r="CA127" s="189"/>
      <c r="CB127" s="189"/>
      <c r="CC127" s="194"/>
      <c r="CD127" s="281"/>
      <c r="CE127" s="279"/>
      <c r="CF127" s="279"/>
      <c r="CG127" s="189"/>
      <c r="CH127" s="189"/>
      <c r="CI127" s="189"/>
      <c r="CJ127" s="189"/>
      <c r="CK127" s="194"/>
      <c r="CL127" s="281"/>
      <c r="CM127" s="279"/>
      <c r="CN127" s="279"/>
      <c r="CO127" s="189"/>
      <c r="CP127" s="189"/>
      <c r="CQ127" s="189"/>
      <c r="CR127" s="189"/>
      <c r="CS127" s="194"/>
      <c r="CT127" s="281"/>
      <c r="CU127" s="279"/>
      <c r="CV127" s="279"/>
      <c r="CW127" s="189"/>
      <c r="CX127" s="189"/>
      <c r="CY127" s="189"/>
      <c r="CZ127" s="189"/>
      <c r="DA127" s="194"/>
      <c r="DB127" s="281"/>
      <c r="DC127" s="279"/>
      <c r="DD127" s="279"/>
      <c r="DE127" s="189"/>
      <c r="DF127" s="189"/>
      <c r="DG127" s="189"/>
      <c r="DH127" s="189"/>
      <c r="DI127" s="194"/>
      <c r="DJ127" s="281"/>
      <c r="DK127" s="279"/>
      <c r="DL127" s="279"/>
      <c r="DM127" s="189"/>
      <c r="DN127" s="189"/>
      <c r="DO127" s="189"/>
      <c r="DP127" s="189"/>
      <c r="DQ127" s="194"/>
      <c r="DR127" s="281"/>
      <c r="DS127" s="279"/>
      <c r="DT127" s="279"/>
      <c r="DU127" s="189"/>
      <c r="DV127" s="189"/>
      <c r="DW127" s="189"/>
      <c r="DX127" s="189"/>
      <c r="DY127" s="194"/>
      <c r="DZ127" s="281"/>
      <c r="EA127" s="279"/>
      <c r="EB127" s="279"/>
      <c r="EC127" s="189"/>
      <c r="ED127" s="189"/>
      <c r="EE127" s="189"/>
      <c r="EF127" s="189"/>
      <c r="EG127" s="194"/>
      <c r="EH127" s="281"/>
      <c r="EI127" s="279"/>
      <c r="EJ127" s="279"/>
      <c r="EK127" s="189"/>
      <c r="EL127" s="189"/>
      <c r="EM127" s="189"/>
      <c r="EN127" s="189"/>
      <c r="EO127" s="194"/>
      <c r="EP127" s="281"/>
      <c r="EQ127" s="279"/>
      <c r="ER127" s="279"/>
      <c r="ES127" s="189"/>
      <c r="ET127" s="189"/>
      <c r="EU127" s="189"/>
      <c r="EV127" s="189"/>
      <c r="EW127" s="194"/>
      <c r="EX127" s="281"/>
      <c r="EY127" s="279"/>
      <c r="EZ127" s="279"/>
      <c r="FA127" s="189"/>
      <c r="FB127" s="189"/>
      <c r="FC127" s="189"/>
      <c r="FD127" s="189"/>
      <c r="FE127" s="194"/>
      <c r="FF127" s="281"/>
      <c r="FG127" s="279"/>
      <c r="FH127" s="279"/>
      <c r="FI127" s="189"/>
      <c r="FJ127" s="189"/>
      <c r="FK127" s="189"/>
      <c r="FL127" s="189"/>
      <c r="FM127" s="194"/>
      <c r="FN127" s="281"/>
      <c r="FO127" s="279"/>
      <c r="FP127" s="279"/>
      <c r="FQ127" s="189"/>
      <c r="FR127" s="189"/>
      <c r="FS127" s="189"/>
      <c r="FT127" s="189"/>
      <c r="FU127" s="194"/>
      <c r="FV127" s="281"/>
      <c r="FW127" s="279"/>
      <c r="FX127" s="279"/>
      <c r="FY127" s="189"/>
      <c r="FZ127" s="189"/>
      <c r="GA127" s="189"/>
      <c r="GB127" s="189"/>
      <c r="GC127" s="194"/>
      <c r="GD127" s="281"/>
      <c r="GE127" s="279"/>
      <c r="GF127" s="279"/>
      <c r="GG127" s="189"/>
      <c r="GH127" s="189"/>
      <c r="GI127" s="189"/>
      <c r="GJ127" s="189"/>
      <c r="GK127" s="194"/>
      <c r="GL127" s="281"/>
      <c r="GM127" s="279"/>
      <c r="GN127" s="279"/>
      <c r="GO127" s="189"/>
      <c r="GP127" s="189"/>
      <c r="GQ127" s="189"/>
      <c r="GR127" s="189"/>
      <c r="GS127" s="194"/>
      <c r="GT127" s="281"/>
      <c r="GU127" s="279"/>
      <c r="GV127" s="279"/>
      <c r="GW127" s="189"/>
      <c r="GX127" s="189"/>
      <c r="GY127" s="189"/>
      <c r="GZ127" s="189"/>
      <c r="HA127" s="194"/>
      <c r="HB127" s="281"/>
      <c r="HC127" s="279"/>
      <c r="HD127" s="279"/>
      <c r="HE127" s="189"/>
      <c r="HF127" s="189"/>
      <c r="HG127" s="189"/>
      <c r="HH127" s="189"/>
      <c r="HI127" s="194"/>
      <c r="HJ127" s="281"/>
      <c r="HK127" s="279"/>
      <c r="HL127" s="279"/>
      <c r="HM127" s="189"/>
      <c r="HN127" s="189"/>
      <c r="HO127" s="189"/>
      <c r="HP127" s="189"/>
      <c r="HQ127" s="194"/>
      <c r="HR127" s="281"/>
      <c r="HS127" s="279"/>
      <c r="HT127" s="279"/>
      <c r="HU127" s="189"/>
      <c r="HV127" s="189"/>
      <c r="HW127" s="189"/>
      <c r="HX127" s="189"/>
      <c r="HY127" s="194"/>
      <c r="HZ127" s="281"/>
      <c r="IA127" s="279"/>
      <c r="IB127" s="279"/>
      <c r="IC127" s="189"/>
      <c r="ID127" s="189"/>
      <c r="IE127" s="189"/>
      <c r="IF127" s="189"/>
      <c r="IG127" s="194"/>
      <c r="IH127" s="281"/>
      <c r="II127" s="279"/>
      <c r="IJ127" s="279"/>
      <c r="IK127" s="189"/>
      <c r="IL127" s="189"/>
      <c r="IM127" s="189"/>
      <c r="IN127" s="189"/>
    </row>
    <row r="128" spans="1:248" s="188" customFormat="1" ht="12.75">
      <c r="A128" s="227"/>
      <c r="B128" s="51" t="s">
        <v>646</v>
      </c>
      <c r="C128" s="212" t="s">
        <v>61</v>
      </c>
      <c r="D128" s="212">
        <v>20</v>
      </c>
      <c r="E128" s="215">
        <v>1</v>
      </c>
      <c r="F128" s="215">
        <v>1</v>
      </c>
      <c r="G128" s="260">
        <f t="shared" si="4"/>
        <v>20</v>
      </c>
      <c r="H128" s="291">
        <v>2572</v>
      </c>
      <c r="I128" s="212" t="s">
        <v>652</v>
      </c>
      <c r="L128" s="281"/>
      <c r="M128" s="279"/>
      <c r="N128" s="189"/>
      <c r="O128" s="189"/>
      <c r="P128" s="189"/>
      <c r="Q128" s="194"/>
      <c r="R128" s="281"/>
      <c r="S128" s="279"/>
      <c r="T128" s="279"/>
      <c r="U128" s="189"/>
      <c r="V128" s="189"/>
      <c r="W128" s="189"/>
      <c r="X128" s="189"/>
      <c r="Y128" s="194"/>
      <c r="Z128" s="281"/>
      <c r="AA128" s="279"/>
      <c r="AB128" s="279"/>
      <c r="AC128" s="189"/>
      <c r="AD128" s="189"/>
      <c r="AE128" s="189"/>
      <c r="AF128" s="189"/>
      <c r="AG128" s="194"/>
      <c r="AH128" s="281"/>
      <c r="AI128" s="279"/>
      <c r="AJ128" s="279"/>
      <c r="AK128" s="189"/>
      <c r="AL128" s="189"/>
      <c r="AM128" s="189"/>
      <c r="AN128" s="189"/>
      <c r="AO128" s="194"/>
      <c r="AP128" s="281"/>
      <c r="AQ128" s="279"/>
      <c r="AR128" s="279"/>
      <c r="AS128" s="189"/>
      <c r="AT128" s="189"/>
      <c r="AU128" s="189"/>
      <c r="AV128" s="189"/>
      <c r="AW128" s="194"/>
      <c r="AX128" s="281"/>
      <c r="AY128" s="279"/>
      <c r="AZ128" s="279"/>
      <c r="BA128" s="189"/>
      <c r="BB128" s="189"/>
      <c r="BC128" s="189"/>
      <c r="BD128" s="189"/>
      <c r="BE128" s="194"/>
      <c r="BF128" s="281"/>
      <c r="BG128" s="279"/>
      <c r="BH128" s="279"/>
      <c r="BI128" s="189"/>
      <c r="BJ128" s="189"/>
      <c r="BK128" s="189"/>
      <c r="BL128" s="189"/>
      <c r="BM128" s="194"/>
      <c r="BN128" s="281"/>
      <c r="BO128" s="279"/>
      <c r="BP128" s="279"/>
      <c r="BQ128" s="189"/>
      <c r="BR128" s="189"/>
      <c r="BS128" s="189"/>
      <c r="BT128" s="189"/>
      <c r="BU128" s="194"/>
      <c r="BV128" s="281"/>
      <c r="BW128" s="279"/>
      <c r="BX128" s="279"/>
      <c r="BY128" s="189"/>
      <c r="BZ128" s="189"/>
      <c r="CA128" s="189"/>
      <c r="CB128" s="189"/>
      <c r="CC128" s="194"/>
      <c r="CD128" s="281"/>
      <c r="CE128" s="279"/>
      <c r="CF128" s="279"/>
      <c r="CG128" s="189"/>
      <c r="CH128" s="189"/>
      <c r="CI128" s="189"/>
      <c r="CJ128" s="189"/>
      <c r="CK128" s="194"/>
      <c r="CL128" s="281"/>
      <c r="CM128" s="279"/>
      <c r="CN128" s="279"/>
      <c r="CO128" s="189"/>
      <c r="CP128" s="189"/>
      <c r="CQ128" s="189"/>
      <c r="CR128" s="189"/>
      <c r="CS128" s="194"/>
      <c r="CT128" s="281"/>
      <c r="CU128" s="279"/>
      <c r="CV128" s="279"/>
      <c r="CW128" s="189"/>
      <c r="CX128" s="189"/>
      <c r="CY128" s="189"/>
      <c r="CZ128" s="189"/>
      <c r="DA128" s="194"/>
      <c r="DB128" s="281"/>
      <c r="DC128" s="279"/>
      <c r="DD128" s="279"/>
      <c r="DE128" s="189"/>
      <c r="DF128" s="189"/>
      <c r="DG128" s="189"/>
      <c r="DH128" s="189"/>
      <c r="DI128" s="194"/>
      <c r="DJ128" s="281"/>
      <c r="DK128" s="279"/>
      <c r="DL128" s="279"/>
      <c r="DM128" s="189"/>
      <c r="DN128" s="189"/>
      <c r="DO128" s="189"/>
      <c r="DP128" s="189"/>
      <c r="DQ128" s="194"/>
      <c r="DR128" s="281"/>
      <c r="DS128" s="279"/>
      <c r="DT128" s="279"/>
      <c r="DU128" s="189"/>
      <c r="DV128" s="189"/>
      <c r="DW128" s="189"/>
      <c r="DX128" s="189"/>
      <c r="DY128" s="194"/>
      <c r="DZ128" s="281"/>
      <c r="EA128" s="279"/>
      <c r="EB128" s="279"/>
      <c r="EC128" s="189"/>
      <c r="ED128" s="189"/>
      <c r="EE128" s="189"/>
      <c r="EF128" s="189"/>
      <c r="EG128" s="194"/>
      <c r="EH128" s="281"/>
      <c r="EI128" s="279"/>
      <c r="EJ128" s="279"/>
      <c r="EK128" s="189"/>
      <c r="EL128" s="189"/>
      <c r="EM128" s="189"/>
      <c r="EN128" s="189"/>
      <c r="EO128" s="194"/>
      <c r="EP128" s="281"/>
      <c r="EQ128" s="279"/>
      <c r="ER128" s="279"/>
      <c r="ES128" s="189"/>
      <c r="ET128" s="189"/>
      <c r="EU128" s="189"/>
      <c r="EV128" s="189"/>
      <c r="EW128" s="194"/>
      <c r="EX128" s="281"/>
      <c r="EY128" s="279"/>
      <c r="EZ128" s="279"/>
      <c r="FA128" s="189"/>
      <c r="FB128" s="189"/>
      <c r="FC128" s="189"/>
      <c r="FD128" s="189"/>
      <c r="FE128" s="194"/>
      <c r="FF128" s="281"/>
      <c r="FG128" s="279"/>
      <c r="FH128" s="279"/>
      <c r="FI128" s="189"/>
      <c r="FJ128" s="189"/>
      <c r="FK128" s="189"/>
      <c r="FL128" s="189"/>
      <c r="FM128" s="194"/>
      <c r="FN128" s="281"/>
      <c r="FO128" s="279"/>
      <c r="FP128" s="279"/>
      <c r="FQ128" s="189"/>
      <c r="FR128" s="189"/>
      <c r="FS128" s="189"/>
      <c r="FT128" s="189"/>
      <c r="FU128" s="194"/>
      <c r="FV128" s="281"/>
      <c r="FW128" s="279"/>
      <c r="FX128" s="279"/>
      <c r="FY128" s="189"/>
      <c r="FZ128" s="189"/>
      <c r="GA128" s="189"/>
      <c r="GB128" s="189"/>
      <c r="GC128" s="194"/>
      <c r="GD128" s="281"/>
      <c r="GE128" s="279"/>
      <c r="GF128" s="279"/>
      <c r="GG128" s="189"/>
      <c r="GH128" s="189"/>
      <c r="GI128" s="189"/>
      <c r="GJ128" s="189"/>
      <c r="GK128" s="194"/>
      <c r="GL128" s="281"/>
      <c r="GM128" s="279"/>
      <c r="GN128" s="279"/>
      <c r="GO128" s="189"/>
      <c r="GP128" s="189"/>
      <c r="GQ128" s="189"/>
      <c r="GR128" s="189"/>
      <c r="GS128" s="194"/>
      <c r="GT128" s="281"/>
      <c r="GU128" s="279"/>
      <c r="GV128" s="279"/>
      <c r="GW128" s="189"/>
      <c r="GX128" s="189"/>
      <c r="GY128" s="189"/>
      <c r="GZ128" s="189"/>
      <c r="HA128" s="194"/>
      <c r="HB128" s="281"/>
      <c r="HC128" s="279"/>
      <c r="HD128" s="279"/>
      <c r="HE128" s="189"/>
      <c r="HF128" s="189"/>
      <c r="HG128" s="189"/>
      <c r="HH128" s="189"/>
      <c r="HI128" s="194"/>
      <c r="HJ128" s="281"/>
      <c r="HK128" s="279"/>
      <c r="HL128" s="279"/>
      <c r="HM128" s="189"/>
      <c r="HN128" s="189"/>
      <c r="HO128" s="189"/>
      <c r="HP128" s="189"/>
      <c r="HQ128" s="194"/>
      <c r="HR128" s="281"/>
      <c r="HS128" s="279"/>
      <c r="HT128" s="279"/>
      <c r="HU128" s="189"/>
      <c r="HV128" s="189"/>
      <c r="HW128" s="189"/>
      <c r="HX128" s="189"/>
      <c r="HY128" s="194"/>
      <c r="HZ128" s="281"/>
      <c r="IA128" s="279"/>
      <c r="IB128" s="279"/>
      <c r="IC128" s="189"/>
      <c r="ID128" s="189"/>
      <c r="IE128" s="189"/>
      <c r="IF128" s="189"/>
      <c r="IG128" s="194"/>
      <c r="IH128" s="281"/>
      <c r="II128" s="279"/>
      <c r="IJ128" s="279"/>
      <c r="IK128" s="189"/>
      <c r="IL128" s="189"/>
      <c r="IM128" s="189"/>
      <c r="IN128" s="189"/>
    </row>
    <row r="129" spans="1:248" s="188" customFormat="1" ht="12.75">
      <c r="A129" s="227"/>
      <c r="B129" s="51" t="s">
        <v>647</v>
      </c>
      <c r="C129" s="212" t="s">
        <v>61</v>
      </c>
      <c r="D129" s="212">
        <v>2</v>
      </c>
      <c r="E129" s="215">
        <v>1</v>
      </c>
      <c r="F129" s="215">
        <v>1</v>
      </c>
      <c r="G129" s="260">
        <f t="shared" si="4"/>
        <v>2</v>
      </c>
      <c r="H129" s="291">
        <v>820</v>
      </c>
      <c r="I129" s="212" t="s">
        <v>653</v>
      </c>
      <c r="L129" s="281"/>
      <c r="M129" s="279"/>
      <c r="N129" s="189"/>
      <c r="O129" s="189"/>
      <c r="P129" s="189"/>
      <c r="Q129" s="194"/>
      <c r="R129" s="281"/>
      <c r="S129" s="279"/>
      <c r="T129" s="279"/>
      <c r="U129" s="189"/>
      <c r="V129" s="189"/>
      <c r="W129" s="189"/>
      <c r="X129" s="189"/>
      <c r="Y129" s="194"/>
      <c r="Z129" s="281"/>
      <c r="AA129" s="279"/>
      <c r="AB129" s="279"/>
      <c r="AC129" s="189"/>
      <c r="AD129" s="189"/>
      <c r="AE129" s="189"/>
      <c r="AF129" s="189"/>
      <c r="AG129" s="194"/>
      <c r="AH129" s="281"/>
      <c r="AI129" s="279"/>
      <c r="AJ129" s="279"/>
      <c r="AK129" s="189"/>
      <c r="AL129" s="189"/>
      <c r="AM129" s="189"/>
      <c r="AN129" s="189"/>
      <c r="AO129" s="194"/>
      <c r="AP129" s="281"/>
      <c r="AQ129" s="279"/>
      <c r="AR129" s="279"/>
      <c r="AS129" s="189"/>
      <c r="AT129" s="189"/>
      <c r="AU129" s="189"/>
      <c r="AV129" s="189"/>
      <c r="AW129" s="194"/>
      <c r="AX129" s="281"/>
      <c r="AY129" s="279"/>
      <c r="AZ129" s="279"/>
      <c r="BA129" s="189"/>
      <c r="BB129" s="189"/>
      <c r="BC129" s="189"/>
      <c r="BD129" s="189"/>
      <c r="BE129" s="194"/>
      <c r="BF129" s="281"/>
      <c r="BG129" s="279"/>
      <c r="BH129" s="279"/>
      <c r="BI129" s="189"/>
      <c r="BJ129" s="189"/>
      <c r="BK129" s="189"/>
      <c r="BL129" s="189"/>
      <c r="BM129" s="194"/>
      <c r="BN129" s="281"/>
      <c r="BO129" s="279"/>
      <c r="BP129" s="279"/>
      <c r="BQ129" s="189"/>
      <c r="BR129" s="189"/>
      <c r="BS129" s="189"/>
      <c r="BT129" s="189"/>
      <c r="BU129" s="194"/>
      <c r="BV129" s="281"/>
      <c r="BW129" s="279"/>
      <c r="BX129" s="279"/>
      <c r="BY129" s="189"/>
      <c r="BZ129" s="189"/>
      <c r="CA129" s="189"/>
      <c r="CB129" s="189"/>
      <c r="CC129" s="194"/>
      <c r="CD129" s="281"/>
      <c r="CE129" s="279"/>
      <c r="CF129" s="279"/>
      <c r="CG129" s="189"/>
      <c r="CH129" s="189"/>
      <c r="CI129" s="189"/>
      <c r="CJ129" s="189"/>
      <c r="CK129" s="194"/>
      <c r="CL129" s="281"/>
      <c r="CM129" s="279"/>
      <c r="CN129" s="279"/>
      <c r="CO129" s="189"/>
      <c r="CP129" s="189"/>
      <c r="CQ129" s="189"/>
      <c r="CR129" s="189"/>
      <c r="CS129" s="194"/>
      <c r="CT129" s="281"/>
      <c r="CU129" s="279"/>
      <c r="CV129" s="279"/>
      <c r="CW129" s="189"/>
      <c r="CX129" s="189"/>
      <c r="CY129" s="189"/>
      <c r="CZ129" s="189"/>
      <c r="DA129" s="194"/>
      <c r="DB129" s="281"/>
      <c r="DC129" s="279"/>
      <c r="DD129" s="279"/>
      <c r="DE129" s="189"/>
      <c r="DF129" s="189"/>
      <c r="DG129" s="189"/>
      <c r="DH129" s="189"/>
      <c r="DI129" s="194"/>
      <c r="DJ129" s="281"/>
      <c r="DK129" s="279"/>
      <c r="DL129" s="279"/>
      <c r="DM129" s="189"/>
      <c r="DN129" s="189"/>
      <c r="DO129" s="189"/>
      <c r="DP129" s="189"/>
      <c r="DQ129" s="194"/>
      <c r="DR129" s="281"/>
      <c r="DS129" s="279"/>
      <c r="DT129" s="279"/>
      <c r="DU129" s="189"/>
      <c r="DV129" s="189"/>
      <c r="DW129" s="189"/>
      <c r="DX129" s="189"/>
      <c r="DY129" s="194"/>
      <c r="DZ129" s="281"/>
      <c r="EA129" s="279"/>
      <c r="EB129" s="279"/>
      <c r="EC129" s="189"/>
      <c r="ED129" s="189"/>
      <c r="EE129" s="189"/>
      <c r="EF129" s="189"/>
      <c r="EG129" s="194"/>
      <c r="EH129" s="281"/>
      <c r="EI129" s="279"/>
      <c r="EJ129" s="279"/>
      <c r="EK129" s="189"/>
      <c r="EL129" s="189"/>
      <c r="EM129" s="189"/>
      <c r="EN129" s="189"/>
      <c r="EO129" s="194"/>
      <c r="EP129" s="281"/>
      <c r="EQ129" s="279"/>
      <c r="ER129" s="279"/>
      <c r="ES129" s="189"/>
      <c r="ET129" s="189"/>
      <c r="EU129" s="189"/>
      <c r="EV129" s="189"/>
      <c r="EW129" s="194"/>
      <c r="EX129" s="281"/>
      <c r="EY129" s="279"/>
      <c r="EZ129" s="279"/>
      <c r="FA129" s="189"/>
      <c r="FB129" s="189"/>
      <c r="FC129" s="189"/>
      <c r="FD129" s="189"/>
      <c r="FE129" s="194"/>
      <c r="FF129" s="281"/>
      <c r="FG129" s="279"/>
      <c r="FH129" s="279"/>
      <c r="FI129" s="189"/>
      <c r="FJ129" s="189"/>
      <c r="FK129" s="189"/>
      <c r="FL129" s="189"/>
      <c r="FM129" s="194"/>
      <c r="FN129" s="281"/>
      <c r="FO129" s="279"/>
      <c r="FP129" s="279"/>
      <c r="FQ129" s="189"/>
      <c r="FR129" s="189"/>
      <c r="FS129" s="189"/>
      <c r="FT129" s="189"/>
      <c r="FU129" s="194"/>
      <c r="FV129" s="281"/>
      <c r="FW129" s="279"/>
      <c r="FX129" s="279"/>
      <c r="FY129" s="189"/>
      <c r="FZ129" s="189"/>
      <c r="GA129" s="189"/>
      <c r="GB129" s="189"/>
      <c r="GC129" s="194"/>
      <c r="GD129" s="281"/>
      <c r="GE129" s="279"/>
      <c r="GF129" s="279"/>
      <c r="GG129" s="189"/>
      <c r="GH129" s="189"/>
      <c r="GI129" s="189"/>
      <c r="GJ129" s="189"/>
      <c r="GK129" s="194"/>
      <c r="GL129" s="281"/>
      <c r="GM129" s="279"/>
      <c r="GN129" s="279"/>
      <c r="GO129" s="189"/>
      <c r="GP129" s="189"/>
      <c r="GQ129" s="189"/>
      <c r="GR129" s="189"/>
      <c r="GS129" s="194"/>
      <c r="GT129" s="281"/>
      <c r="GU129" s="279"/>
      <c r="GV129" s="279"/>
      <c r="GW129" s="189"/>
      <c r="GX129" s="189"/>
      <c r="GY129" s="189"/>
      <c r="GZ129" s="189"/>
      <c r="HA129" s="194"/>
      <c r="HB129" s="281"/>
      <c r="HC129" s="279"/>
      <c r="HD129" s="279"/>
      <c r="HE129" s="189"/>
      <c r="HF129" s="189"/>
      <c r="HG129" s="189"/>
      <c r="HH129" s="189"/>
      <c r="HI129" s="194"/>
      <c r="HJ129" s="281"/>
      <c r="HK129" s="279"/>
      <c r="HL129" s="279"/>
      <c r="HM129" s="189"/>
      <c r="HN129" s="189"/>
      <c r="HO129" s="189"/>
      <c r="HP129" s="189"/>
      <c r="HQ129" s="194"/>
      <c r="HR129" s="281"/>
      <c r="HS129" s="279"/>
      <c r="HT129" s="279"/>
      <c r="HU129" s="189"/>
      <c r="HV129" s="189"/>
      <c r="HW129" s="189"/>
      <c r="HX129" s="189"/>
      <c r="HY129" s="194"/>
      <c r="HZ129" s="281"/>
      <c r="IA129" s="279"/>
      <c r="IB129" s="279"/>
      <c r="IC129" s="189"/>
      <c r="ID129" s="189"/>
      <c r="IE129" s="189"/>
      <c r="IF129" s="189"/>
      <c r="IG129" s="194"/>
      <c r="IH129" s="281"/>
      <c r="II129" s="279"/>
      <c r="IJ129" s="279"/>
      <c r="IK129" s="189"/>
      <c r="IL129" s="189"/>
      <c r="IM129" s="189"/>
      <c r="IN129" s="189"/>
    </row>
    <row r="130" spans="1:248" s="188" customFormat="1" ht="12.75">
      <c r="A130" s="227"/>
      <c r="B130" s="51" t="s">
        <v>648</v>
      </c>
      <c r="C130" s="212" t="s">
        <v>61</v>
      </c>
      <c r="D130" s="212">
        <v>4</v>
      </c>
      <c r="E130" s="215">
        <v>1</v>
      </c>
      <c r="F130" s="215">
        <v>1</v>
      </c>
      <c r="G130" s="260">
        <f t="shared" si="4"/>
        <v>4</v>
      </c>
      <c r="H130" s="291">
        <v>1375</v>
      </c>
      <c r="I130" s="212" t="s">
        <v>654</v>
      </c>
      <c r="L130" s="281"/>
      <c r="M130" s="279"/>
      <c r="N130" s="189"/>
      <c r="O130" s="189"/>
      <c r="P130" s="189"/>
      <c r="Q130" s="194"/>
      <c r="R130" s="281"/>
      <c r="S130" s="279"/>
      <c r="T130" s="279"/>
      <c r="U130" s="189"/>
      <c r="V130" s="189"/>
      <c r="W130" s="189"/>
      <c r="X130" s="189"/>
      <c r="Y130" s="194"/>
      <c r="Z130" s="281"/>
      <c r="AA130" s="279"/>
      <c r="AB130" s="279"/>
      <c r="AC130" s="189"/>
      <c r="AD130" s="189"/>
      <c r="AE130" s="189"/>
      <c r="AF130" s="189"/>
      <c r="AG130" s="194"/>
      <c r="AH130" s="281"/>
      <c r="AI130" s="279"/>
      <c r="AJ130" s="279"/>
      <c r="AK130" s="189"/>
      <c r="AL130" s="189"/>
      <c r="AM130" s="189"/>
      <c r="AN130" s="189"/>
      <c r="AO130" s="194"/>
      <c r="AP130" s="281"/>
      <c r="AQ130" s="279"/>
      <c r="AR130" s="279"/>
      <c r="AS130" s="189"/>
      <c r="AT130" s="189"/>
      <c r="AU130" s="189"/>
      <c r="AV130" s="189"/>
      <c r="AW130" s="194"/>
      <c r="AX130" s="281"/>
      <c r="AY130" s="279"/>
      <c r="AZ130" s="279"/>
      <c r="BA130" s="189"/>
      <c r="BB130" s="189"/>
      <c r="BC130" s="189"/>
      <c r="BD130" s="189"/>
      <c r="BE130" s="194"/>
      <c r="BF130" s="281"/>
      <c r="BG130" s="279"/>
      <c r="BH130" s="279"/>
      <c r="BI130" s="189"/>
      <c r="BJ130" s="189"/>
      <c r="BK130" s="189"/>
      <c r="BL130" s="189"/>
      <c r="BM130" s="194"/>
      <c r="BN130" s="281"/>
      <c r="BO130" s="279"/>
      <c r="BP130" s="279"/>
      <c r="BQ130" s="189"/>
      <c r="BR130" s="189"/>
      <c r="BS130" s="189"/>
      <c r="BT130" s="189"/>
      <c r="BU130" s="194"/>
      <c r="BV130" s="281"/>
      <c r="BW130" s="279"/>
      <c r="BX130" s="279"/>
      <c r="BY130" s="189"/>
      <c r="BZ130" s="189"/>
      <c r="CA130" s="189"/>
      <c r="CB130" s="189"/>
      <c r="CC130" s="194"/>
      <c r="CD130" s="281"/>
      <c r="CE130" s="279"/>
      <c r="CF130" s="279"/>
      <c r="CG130" s="189"/>
      <c r="CH130" s="189"/>
      <c r="CI130" s="189"/>
      <c r="CJ130" s="189"/>
      <c r="CK130" s="194"/>
      <c r="CL130" s="281"/>
      <c r="CM130" s="279"/>
      <c r="CN130" s="279"/>
      <c r="CO130" s="189"/>
      <c r="CP130" s="189"/>
      <c r="CQ130" s="189"/>
      <c r="CR130" s="189"/>
      <c r="CS130" s="194"/>
      <c r="CT130" s="281"/>
      <c r="CU130" s="279"/>
      <c r="CV130" s="279"/>
      <c r="CW130" s="189"/>
      <c r="CX130" s="189"/>
      <c r="CY130" s="189"/>
      <c r="CZ130" s="189"/>
      <c r="DA130" s="194"/>
      <c r="DB130" s="281"/>
      <c r="DC130" s="279"/>
      <c r="DD130" s="279"/>
      <c r="DE130" s="189"/>
      <c r="DF130" s="189"/>
      <c r="DG130" s="189"/>
      <c r="DH130" s="189"/>
      <c r="DI130" s="194"/>
      <c r="DJ130" s="281"/>
      <c r="DK130" s="279"/>
      <c r="DL130" s="279"/>
      <c r="DM130" s="189"/>
      <c r="DN130" s="189"/>
      <c r="DO130" s="189"/>
      <c r="DP130" s="189"/>
      <c r="DQ130" s="194"/>
      <c r="DR130" s="281"/>
      <c r="DS130" s="279"/>
      <c r="DT130" s="279"/>
      <c r="DU130" s="189"/>
      <c r="DV130" s="189"/>
      <c r="DW130" s="189"/>
      <c r="DX130" s="189"/>
      <c r="DY130" s="194"/>
      <c r="DZ130" s="281"/>
      <c r="EA130" s="279"/>
      <c r="EB130" s="279"/>
      <c r="EC130" s="189"/>
      <c r="ED130" s="189"/>
      <c r="EE130" s="189"/>
      <c r="EF130" s="189"/>
      <c r="EG130" s="194"/>
      <c r="EH130" s="281"/>
      <c r="EI130" s="279"/>
      <c r="EJ130" s="279"/>
      <c r="EK130" s="189"/>
      <c r="EL130" s="189"/>
      <c r="EM130" s="189"/>
      <c r="EN130" s="189"/>
      <c r="EO130" s="194"/>
      <c r="EP130" s="281"/>
      <c r="EQ130" s="279"/>
      <c r="ER130" s="279"/>
      <c r="ES130" s="189"/>
      <c r="ET130" s="189"/>
      <c r="EU130" s="189"/>
      <c r="EV130" s="189"/>
      <c r="EW130" s="194"/>
      <c r="EX130" s="281"/>
      <c r="EY130" s="279"/>
      <c r="EZ130" s="279"/>
      <c r="FA130" s="189"/>
      <c r="FB130" s="189"/>
      <c r="FC130" s="189"/>
      <c r="FD130" s="189"/>
      <c r="FE130" s="194"/>
      <c r="FF130" s="281"/>
      <c r="FG130" s="279"/>
      <c r="FH130" s="279"/>
      <c r="FI130" s="189"/>
      <c r="FJ130" s="189"/>
      <c r="FK130" s="189"/>
      <c r="FL130" s="189"/>
      <c r="FM130" s="194"/>
      <c r="FN130" s="281"/>
      <c r="FO130" s="279"/>
      <c r="FP130" s="279"/>
      <c r="FQ130" s="189"/>
      <c r="FR130" s="189"/>
      <c r="FS130" s="189"/>
      <c r="FT130" s="189"/>
      <c r="FU130" s="194"/>
      <c r="FV130" s="281"/>
      <c r="FW130" s="279"/>
      <c r="FX130" s="279"/>
      <c r="FY130" s="189"/>
      <c r="FZ130" s="189"/>
      <c r="GA130" s="189"/>
      <c r="GB130" s="189"/>
      <c r="GC130" s="194"/>
      <c r="GD130" s="281"/>
      <c r="GE130" s="279"/>
      <c r="GF130" s="279"/>
      <c r="GG130" s="189"/>
      <c r="GH130" s="189"/>
      <c r="GI130" s="189"/>
      <c r="GJ130" s="189"/>
      <c r="GK130" s="194"/>
      <c r="GL130" s="281"/>
      <c r="GM130" s="279"/>
      <c r="GN130" s="279"/>
      <c r="GO130" s="189"/>
      <c r="GP130" s="189"/>
      <c r="GQ130" s="189"/>
      <c r="GR130" s="189"/>
      <c r="GS130" s="194"/>
      <c r="GT130" s="281"/>
      <c r="GU130" s="279"/>
      <c r="GV130" s="279"/>
      <c r="GW130" s="189"/>
      <c r="GX130" s="189"/>
      <c r="GY130" s="189"/>
      <c r="GZ130" s="189"/>
      <c r="HA130" s="194"/>
      <c r="HB130" s="281"/>
      <c r="HC130" s="279"/>
      <c r="HD130" s="279"/>
      <c r="HE130" s="189"/>
      <c r="HF130" s="189"/>
      <c r="HG130" s="189"/>
      <c r="HH130" s="189"/>
      <c r="HI130" s="194"/>
      <c r="HJ130" s="281"/>
      <c r="HK130" s="279"/>
      <c r="HL130" s="279"/>
      <c r="HM130" s="189"/>
      <c r="HN130" s="189"/>
      <c r="HO130" s="189"/>
      <c r="HP130" s="189"/>
      <c r="HQ130" s="194"/>
      <c r="HR130" s="281"/>
      <c r="HS130" s="279"/>
      <c r="HT130" s="279"/>
      <c r="HU130" s="189"/>
      <c r="HV130" s="189"/>
      <c r="HW130" s="189"/>
      <c r="HX130" s="189"/>
      <c r="HY130" s="194"/>
      <c r="HZ130" s="281"/>
      <c r="IA130" s="279"/>
      <c r="IB130" s="279"/>
      <c r="IC130" s="189"/>
      <c r="ID130" s="189"/>
      <c r="IE130" s="189"/>
      <c r="IF130" s="189"/>
      <c r="IG130" s="194"/>
      <c r="IH130" s="281"/>
      <c r="II130" s="279"/>
      <c r="IJ130" s="279"/>
      <c r="IK130" s="189"/>
      <c r="IL130" s="189"/>
      <c r="IM130" s="189"/>
      <c r="IN130" s="189"/>
    </row>
    <row r="131" spans="1:248" s="188" customFormat="1" ht="12.75">
      <c r="A131" s="227"/>
      <c r="B131" s="51" t="s">
        <v>649</v>
      </c>
      <c r="C131" s="212" t="s">
        <v>61</v>
      </c>
      <c r="D131" s="212">
        <v>16</v>
      </c>
      <c r="E131" s="215">
        <v>1</v>
      </c>
      <c r="F131" s="215">
        <v>1</v>
      </c>
      <c r="G131" s="260">
        <f t="shared" si="4"/>
        <v>16</v>
      </c>
      <c r="H131" s="291">
        <v>5750</v>
      </c>
      <c r="I131" s="212" t="s">
        <v>655</v>
      </c>
      <c r="L131" s="281"/>
      <c r="M131" s="279"/>
      <c r="N131" s="189"/>
      <c r="O131" s="189"/>
      <c r="P131" s="189"/>
      <c r="Q131" s="194"/>
      <c r="R131" s="281"/>
      <c r="S131" s="279"/>
      <c r="T131" s="279"/>
      <c r="U131" s="189"/>
      <c r="V131" s="189"/>
      <c r="W131" s="189"/>
      <c r="X131" s="189"/>
      <c r="Y131" s="194"/>
      <c r="Z131" s="281"/>
      <c r="AA131" s="279"/>
      <c r="AB131" s="279"/>
      <c r="AC131" s="189"/>
      <c r="AD131" s="189"/>
      <c r="AE131" s="189"/>
      <c r="AF131" s="189"/>
      <c r="AG131" s="194"/>
      <c r="AH131" s="281"/>
      <c r="AI131" s="279"/>
      <c r="AJ131" s="279"/>
      <c r="AK131" s="189"/>
      <c r="AL131" s="189"/>
      <c r="AM131" s="189"/>
      <c r="AN131" s="189"/>
      <c r="AO131" s="194"/>
      <c r="AP131" s="281"/>
      <c r="AQ131" s="279"/>
      <c r="AR131" s="279"/>
      <c r="AS131" s="189"/>
      <c r="AT131" s="189"/>
      <c r="AU131" s="189"/>
      <c r="AV131" s="189"/>
      <c r="AW131" s="194"/>
      <c r="AX131" s="281"/>
      <c r="AY131" s="279"/>
      <c r="AZ131" s="279"/>
      <c r="BA131" s="189"/>
      <c r="BB131" s="189"/>
      <c r="BC131" s="189"/>
      <c r="BD131" s="189"/>
      <c r="BE131" s="194"/>
      <c r="BF131" s="281"/>
      <c r="BG131" s="279"/>
      <c r="BH131" s="279"/>
      <c r="BI131" s="189"/>
      <c r="BJ131" s="189"/>
      <c r="BK131" s="189"/>
      <c r="BL131" s="189"/>
      <c r="BM131" s="194"/>
      <c r="BN131" s="281"/>
      <c r="BO131" s="279"/>
      <c r="BP131" s="279"/>
      <c r="BQ131" s="189"/>
      <c r="BR131" s="189"/>
      <c r="BS131" s="189"/>
      <c r="BT131" s="189"/>
      <c r="BU131" s="194"/>
      <c r="BV131" s="281"/>
      <c r="BW131" s="279"/>
      <c r="BX131" s="279"/>
      <c r="BY131" s="189"/>
      <c r="BZ131" s="189"/>
      <c r="CA131" s="189"/>
      <c r="CB131" s="189"/>
      <c r="CC131" s="194"/>
      <c r="CD131" s="281"/>
      <c r="CE131" s="279"/>
      <c r="CF131" s="279"/>
      <c r="CG131" s="189"/>
      <c r="CH131" s="189"/>
      <c r="CI131" s="189"/>
      <c r="CJ131" s="189"/>
      <c r="CK131" s="194"/>
      <c r="CL131" s="281"/>
      <c r="CM131" s="279"/>
      <c r="CN131" s="279"/>
      <c r="CO131" s="189"/>
      <c r="CP131" s="189"/>
      <c r="CQ131" s="189"/>
      <c r="CR131" s="189"/>
      <c r="CS131" s="194"/>
      <c r="CT131" s="281"/>
      <c r="CU131" s="279"/>
      <c r="CV131" s="279"/>
      <c r="CW131" s="189"/>
      <c r="CX131" s="189"/>
      <c r="CY131" s="189"/>
      <c r="CZ131" s="189"/>
      <c r="DA131" s="194"/>
      <c r="DB131" s="281"/>
      <c r="DC131" s="279"/>
      <c r="DD131" s="279"/>
      <c r="DE131" s="189"/>
      <c r="DF131" s="189"/>
      <c r="DG131" s="189"/>
      <c r="DH131" s="189"/>
      <c r="DI131" s="194"/>
      <c r="DJ131" s="281"/>
      <c r="DK131" s="279"/>
      <c r="DL131" s="279"/>
      <c r="DM131" s="189"/>
      <c r="DN131" s="189"/>
      <c r="DO131" s="189"/>
      <c r="DP131" s="189"/>
      <c r="DQ131" s="194"/>
      <c r="DR131" s="281"/>
      <c r="DS131" s="279"/>
      <c r="DT131" s="279"/>
      <c r="DU131" s="189"/>
      <c r="DV131" s="189"/>
      <c r="DW131" s="189"/>
      <c r="DX131" s="189"/>
      <c r="DY131" s="194"/>
      <c r="DZ131" s="281"/>
      <c r="EA131" s="279"/>
      <c r="EB131" s="279"/>
      <c r="EC131" s="189"/>
      <c r="ED131" s="189"/>
      <c r="EE131" s="189"/>
      <c r="EF131" s="189"/>
      <c r="EG131" s="194"/>
      <c r="EH131" s="281"/>
      <c r="EI131" s="279"/>
      <c r="EJ131" s="279"/>
      <c r="EK131" s="189"/>
      <c r="EL131" s="189"/>
      <c r="EM131" s="189"/>
      <c r="EN131" s="189"/>
      <c r="EO131" s="194"/>
      <c r="EP131" s="281"/>
      <c r="EQ131" s="279"/>
      <c r="ER131" s="279"/>
      <c r="ES131" s="189"/>
      <c r="ET131" s="189"/>
      <c r="EU131" s="189"/>
      <c r="EV131" s="189"/>
      <c r="EW131" s="194"/>
      <c r="EX131" s="281"/>
      <c r="EY131" s="279"/>
      <c r="EZ131" s="279"/>
      <c r="FA131" s="189"/>
      <c r="FB131" s="189"/>
      <c r="FC131" s="189"/>
      <c r="FD131" s="189"/>
      <c r="FE131" s="194"/>
      <c r="FF131" s="281"/>
      <c r="FG131" s="279"/>
      <c r="FH131" s="279"/>
      <c r="FI131" s="189"/>
      <c r="FJ131" s="189"/>
      <c r="FK131" s="189"/>
      <c r="FL131" s="189"/>
      <c r="FM131" s="194"/>
      <c r="FN131" s="281"/>
      <c r="FO131" s="279"/>
      <c r="FP131" s="279"/>
      <c r="FQ131" s="189"/>
      <c r="FR131" s="189"/>
      <c r="FS131" s="189"/>
      <c r="FT131" s="189"/>
      <c r="FU131" s="194"/>
      <c r="FV131" s="281"/>
      <c r="FW131" s="279"/>
      <c r="FX131" s="279"/>
      <c r="FY131" s="189"/>
      <c r="FZ131" s="189"/>
      <c r="GA131" s="189"/>
      <c r="GB131" s="189"/>
      <c r="GC131" s="194"/>
      <c r="GD131" s="281"/>
      <c r="GE131" s="279"/>
      <c r="GF131" s="279"/>
      <c r="GG131" s="189"/>
      <c r="GH131" s="189"/>
      <c r="GI131" s="189"/>
      <c r="GJ131" s="189"/>
      <c r="GK131" s="194"/>
      <c r="GL131" s="281"/>
      <c r="GM131" s="279"/>
      <c r="GN131" s="279"/>
      <c r="GO131" s="189"/>
      <c r="GP131" s="189"/>
      <c r="GQ131" s="189"/>
      <c r="GR131" s="189"/>
      <c r="GS131" s="194"/>
      <c r="GT131" s="281"/>
      <c r="GU131" s="279"/>
      <c r="GV131" s="279"/>
      <c r="GW131" s="189"/>
      <c r="GX131" s="189"/>
      <c r="GY131" s="189"/>
      <c r="GZ131" s="189"/>
      <c r="HA131" s="194"/>
      <c r="HB131" s="281"/>
      <c r="HC131" s="279"/>
      <c r="HD131" s="279"/>
      <c r="HE131" s="189"/>
      <c r="HF131" s="189"/>
      <c r="HG131" s="189"/>
      <c r="HH131" s="189"/>
      <c r="HI131" s="194"/>
      <c r="HJ131" s="281"/>
      <c r="HK131" s="279"/>
      <c r="HL131" s="279"/>
      <c r="HM131" s="189"/>
      <c r="HN131" s="189"/>
      <c r="HO131" s="189"/>
      <c r="HP131" s="189"/>
      <c r="HQ131" s="194"/>
      <c r="HR131" s="281"/>
      <c r="HS131" s="279"/>
      <c r="HT131" s="279"/>
      <c r="HU131" s="189"/>
      <c r="HV131" s="189"/>
      <c r="HW131" s="189"/>
      <c r="HX131" s="189"/>
      <c r="HY131" s="194"/>
      <c r="HZ131" s="281"/>
      <c r="IA131" s="279"/>
      <c r="IB131" s="279"/>
      <c r="IC131" s="189"/>
      <c r="ID131" s="189"/>
      <c r="IE131" s="189"/>
      <c r="IF131" s="189"/>
      <c r="IG131" s="194"/>
      <c r="IH131" s="281"/>
      <c r="II131" s="279"/>
      <c r="IJ131" s="279"/>
      <c r="IK131" s="189"/>
      <c r="IL131" s="189"/>
      <c r="IM131" s="189"/>
      <c r="IN131" s="189"/>
    </row>
    <row r="132" spans="1:248" s="188" customFormat="1" ht="12.75">
      <c r="A132" s="227"/>
      <c r="B132" s="47" t="s">
        <v>413</v>
      </c>
      <c r="C132" s="212"/>
      <c r="D132" s="212"/>
      <c r="E132" s="215"/>
      <c r="F132" s="215"/>
      <c r="G132" s="207">
        <f>SUM(G117:G131)</f>
        <v>7631</v>
      </c>
      <c r="H132" s="299">
        <f>SUM(H117:H131)</f>
        <v>588148</v>
      </c>
      <c r="I132" s="212"/>
      <c r="J132" s="198"/>
      <c r="L132" s="281"/>
      <c r="M132" s="279"/>
      <c r="N132" s="189"/>
      <c r="O132" s="189"/>
      <c r="P132" s="189"/>
      <c r="Q132" s="194"/>
      <c r="R132" s="281"/>
      <c r="S132" s="279"/>
      <c r="T132" s="279"/>
      <c r="U132" s="189"/>
      <c r="V132" s="189"/>
      <c r="W132" s="189"/>
      <c r="X132" s="189"/>
      <c r="Y132" s="194"/>
      <c r="Z132" s="281"/>
      <c r="AA132" s="279"/>
      <c r="AB132" s="279"/>
      <c r="AC132" s="189"/>
      <c r="AD132" s="189"/>
      <c r="AE132" s="189"/>
      <c r="AF132" s="189"/>
      <c r="AG132" s="194"/>
      <c r="AH132" s="281"/>
      <c r="AI132" s="279"/>
      <c r="AJ132" s="279"/>
      <c r="AK132" s="189"/>
      <c r="AL132" s="189"/>
      <c r="AM132" s="189"/>
      <c r="AN132" s="189"/>
      <c r="AO132" s="194"/>
      <c r="AP132" s="281"/>
      <c r="AQ132" s="279"/>
      <c r="AR132" s="279"/>
      <c r="AS132" s="189"/>
      <c r="AT132" s="189"/>
      <c r="AU132" s="189"/>
      <c r="AV132" s="189"/>
      <c r="AW132" s="194"/>
      <c r="AX132" s="281"/>
      <c r="AY132" s="279"/>
      <c r="AZ132" s="279"/>
      <c r="BA132" s="189"/>
      <c r="BB132" s="189"/>
      <c r="BC132" s="189"/>
      <c r="BD132" s="189"/>
      <c r="BE132" s="194"/>
      <c r="BF132" s="281"/>
      <c r="BG132" s="279"/>
      <c r="BH132" s="279"/>
      <c r="BI132" s="189"/>
      <c r="BJ132" s="189"/>
      <c r="BK132" s="189"/>
      <c r="BL132" s="189"/>
      <c r="BM132" s="194"/>
      <c r="BN132" s="281"/>
      <c r="BO132" s="279"/>
      <c r="BP132" s="279"/>
      <c r="BQ132" s="189"/>
      <c r="BR132" s="189"/>
      <c r="BS132" s="189"/>
      <c r="BT132" s="189"/>
      <c r="BU132" s="194"/>
      <c r="BV132" s="281"/>
      <c r="BW132" s="279"/>
      <c r="BX132" s="279"/>
      <c r="BY132" s="189"/>
      <c r="BZ132" s="189"/>
      <c r="CA132" s="189"/>
      <c r="CB132" s="189"/>
      <c r="CC132" s="194"/>
      <c r="CD132" s="281"/>
      <c r="CE132" s="279"/>
      <c r="CF132" s="279"/>
      <c r="CG132" s="189"/>
      <c r="CH132" s="189"/>
      <c r="CI132" s="189"/>
      <c r="CJ132" s="189"/>
      <c r="CK132" s="194"/>
      <c r="CL132" s="281"/>
      <c r="CM132" s="279"/>
      <c r="CN132" s="279"/>
      <c r="CO132" s="189"/>
      <c r="CP132" s="189"/>
      <c r="CQ132" s="189"/>
      <c r="CR132" s="189"/>
      <c r="CS132" s="194"/>
      <c r="CT132" s="281"/>
      <c r="CU132" s="279"/>
      <c r="CV132" s="279"/>
      <c r="CW132" s="189"/>
      <c r="CX132" s="189"/>
      <c r="CY132" s="189"/>
      <c r="CZ132" s="189"/>
      <c r="DA132" s="194"/>
      <c r="DB132" s="281"/>
      <c r="DC132" s="279"/>
      <c r="DD132" s="279"/>
      <c r="DE132" s="189"/>
      <c r="DF132" s="189"/>
      <c r="DG132" s="189"/>
      <c r="DH132" s="189"/>
      <c r="DI132" s="194"/>
      <c r="DJ132" s="281"/>
      <c r="DK132" s="279"/>
      <c r="DL132" s="279"/>
      <c r="DM132" s="189"/>
      <c r="DN132" s="189"/>
      <c r="DO132" s="189"/>
      <c r="DP132" s="189"/>
      <c r="DQ132" s="194"/>
      <c r="DR132" s="281"/>
      <c r="DS132" s="279"/>
      <c r="DT132" s="279"/>
      <c r="DU132" s="189"/>
      <c r="DV132" s="189"/>
      <c r="DW132" s="189"/>
      <c r="DX132" s="189"/>
      <c r="DY132" s="194"/>
      <c r="DZ132" s="281"/>
      <c r="EA132" s="279"/>
      <c r="EB132" s="279"/>
      <c r="EC132" s="189"/>
      <c r="ED132" s="189"/>
      <c r="EE132" s="189"/>
      <c r="EF132" s="189"/>
      <c r="EG132" s="194"/>
      <c r="EH132" s="281"/>
      <c r="EI132" s="279"/>
      <c r="EJ132" s="279"/>
      <c r="EK132" s="189"/>
      <c r="EL132" s="189"/>
      <c r="EM132" s="189"/>
      <c r="EN132" s="189"/>
      <c r="EO132" s="194"/>
      <c r="EP132" s="281"/>
      <c r="EQ132" s="279"/>
      <c r="ER132" s="279"/>
      <c r="ES132" s="189"/>
      <c r="ET132" s="189"/>
      <c r="EU132" s="189"/>
      <c r="EV132" s="189"/>
      <c r="EW132" s="194"/>
      <c r="EX132" s="281"/>
      <c r="EY132" s="279"/>
      <c r="EZ132" s="279"/>
      <c r="FA132" s="189"/>
      <c r="FB132" s="189"/>
      <c r="FC132" s="189"/>
      <c r="FD132" s="189"/>
      <c r="FE132" s="194"/>
      <c r="FF132" s="281"/>
      <c r="FG132" s="279"/>
      <c r="FH132" s="279"/>
      <c r="FI132" s="189"/>
      <c r="FJ132" s="189"/>
      <c r="FK132" s="189"/>
      <c r="FL132" s="189"/>
      <c r="FM132" s="194"/>
      <c r="FN132" s="281"/>
      <c r="FO132" s="279"/>
      <c r="FP132" s="279"/>
      <c r="FQ132" s="189"/>
      <c r="FR132" s="189"/>
      <c r="FS132" s="189"/>
      <c r="FT132" s="189"/>
      <c r="FU132" s="194"/>
      <c r="FV132" s="281"/>
      <c r="FW132" s="279"/>
      <c r="FX132" s="279"/>
      <c r="FY132" s="189"/>
      <c r="FZ132" s="189"/>
      <c r="GA132" s="189"/>
      <c r="GB132" s="189"/>
      <c r="GC132" s="194"/>
      <c r="GD132" s="281"/>
      <c r="GE132" s="279"/>
      <c r="GF132" s="279"/>
      <c r="GG132" s="189"/>
      <c r="GH132" s="189"/>
      <c r="GI132" s="189"/>
      <c r="GJ132" s="189"/>
      <c r="GK132" s="194"/>
      <c r="GL132" s="281"/>
      <c r="GM132" s="279"/>
      <c r="GN132" s="279"/>
      <c r="GO132" s="189"/>
      <c r="GP132" s="189"/>
      <c r="GQ132" s="189"/>
      <c r="GR132" s="189"/>
      <c r="GS132" s="194"/>
      <c r="GT132" s="281"/>
      <c r="GU132" s="279"/>
      <c r="GV132" s="279"/>
      <c r="GW132" s="189"/>
      <c r="GX132" s="189"/>
      <c r="GY132" s="189"/>
      <c r="GZ132" s="189"/>
      <c r="HA132" s="194"/>
      <c r="HB132" s="281"/>
      <c r="HC132" s="279"/>
      <c r="HD132" s="279"/>
      <c r="HE132" s="189"/>
      <c r="HF132" s="189"/>
      <c r="HG132" s="189"/>
      <c r="HH132" s="189"/>
      <c r="HI132" s="194"/>
      <c r="HJ132" s="281"/>
      <c r="HK132" s="279"/>
      <c r="HL132" s="279"/>
      <c r="HM132" s="189"/>
      <c r="HN132" s="189"/>
      <c r="HO132" s="189"/>
      <c r="HP132" s="189"/>
      <c r="HQ132" s="194"/>
      <c r="HR132" s="281"/>
      <c r="HS132" s="279"/>
      <c r="HT132" s="279"/>
      <c r="HU132" s="189"/>
      <c r="HV132" s="189"/>
      <c r="HW132" s="189"/>
      <c r="HX132" s="189"/>
      <c r="HY132" s="194"/>
      <c r="HZ132" s="281"/>
      <c r="IA132" s="279"/>
      <c r="IB132" s="279"/>
      <c r="IC132" s="189"/>
      <c r="ID132" s="189"/>
      <c r="IE132" s="189"/>
      <c r="IF132" s="189"/>
      <c r="IG132" s="194"/>
      <c r="IH132" s="281"/>
      <c r="II132" s="279"/>
      <c r="IJ132" s="279"/>
      <c r="IK132" s="189"/>
      <c r="IL132" s="189"/>
      <c r="IM132" s="189"/>
      <c r="IN132" s="189"/>
    </row>
    <row r="133" spans="1:248" s="188" customFormat="1" ht="16.5" customHeight="1">
      <c r="A133" s="227"/>
      <c r="B133" s="86" t="s">
        <v>602</v>
      </c>
      <c r="C133" s="329"/>
      <c r="D133" s="329"/>
      <c r="E133" s="258"/>
      <c r="F133" s="258"/>
      <c r="G133" s="332">
        <f>G88+G97+G114+G132</f>
        <v>40901.71751999999</v>
      </c>
      <c r="H133" s="330">
        <f>H115+H132</f>
        <v>1367725.98875295</v>
      </c>
      <c r="I133" s="212"/>
      <c r="J133" s="198"/>
      <c r="L133" s="326"/>
      <c r="M133" s="279"/>
      <c r="N133" s="189"/>
      <c r="O133" s="189"/>
      <c r="P133" s="189"/>
      <c r="Q133" s="194"/>
      <c r="R133" s="281"/>
      <c r="S133" s="279"/>
      <c r="T133" s="279"/>
      <c r="U133" s="189"/>
      <c r="V133" s="189"/>
      <c r="W133" s="189"/>
      <c r="X133" s="189"/>
      <c r="Y133" s="194"/>
      <c r="Z133" s="281"/>
      <c r="AA133" s="279"/>
      <c r="AB133" s="279"/>
      <c r="AC133" s="189"/>
      <c r="AD133" s="189"/>
      <c r="AE133" s="189"/>
      <c r="AF133" s="189"/>
      <c r="AG133" s="194"/>
      <c r="AH133" s="281"/>
      <c r="AI133" s="279"/>
      <c r="AJ133" s="279"/>
      <c r="AK133" s="189"/>
      <c r="AL133" s="189"/>
      <c r="AM133" s="189"/>
      <c r="AN133" s="189"/>
      <c r="AO133" s="194"/>
      <c r="AP133" s="281"/>
      <c r="AQ133" s="279"/>
      <c r="AR133" s="279"/>
      <c r="AS133" s="189"/>
      <c r="AT133" s="189"/>
      <c r="AU133" s="189"/>
      <c r="AV133" s="189"/>
      <c r="AW133" s="194"/>
      <c r="AX133" s="281"/>
      <c r="AY133" s="279"/>
      <c r="AZ133" s="279"/>
      <c r="BA133" s="189"/>
      <c r="BB133" s="189"/>
      <c r="BC133" s="189"/>
      <c r="BD133" s="189"/>
      <c r="BE133" s="194"/>
      <c r="BF133" s="281"/>
      <c r="BG133" s="279"/>
      <c r="BH133" s="279"/>
      <c r="BI133" s="189"/>
      <c r="BJ133" s="189"/>
      <c r="BK133" s="189"/>
      <c r="BL133" s="189"/>
      <c r="BM133" s="194"/>
      <c r="BN133" s="281"/>
      <c r="BO133" s="279"/>
      <c r="BP133" s="279"/>
      <c r="BQ133" s="189"/>
      <c r="BR133" s="189"/>
      <c r="BS133" s="189"/>
      <c r="BT133" s="189"/>
      <c r="BU133" s="194"/>
      <c r="BV133" s="281"/>
      <c r="BW133" s="279"/>
      <c r="BX133" s="279"/>
      <c r="BY133" s="189"/>
      <c r="BZ133" s="189"/>
      <c r="CA133" s="189"/>
      <c r="CB133" s="189"/>
      <c r="CC133" s="194"/>
      <c r="CD133" s="281"/>
      <c r="CE133" s="279"/>
      <c r="CF133" s="279"/>
      <c r="CG133" s="189"/>
      <c r="CH133" s="189"/>
      <c r="CI133" s="189"/>
      <c r="CJ133" s="189"/>
      <c r="CK133" s="194"/>
      <c r="CL133" s="281"/>
      <c r="CM133" s="279"/>
      <c r="CN133" s="279"/>
      <c r="CO133" s="189"/>
      <c r="CP133" s="189"/>
      <c r="CQ133" s="189"/>
      <c r="CR133" s="189"/>
      <c r="CS133" s="194"/>
      <c r="CT133" s="281"/>
      <c r="CU133" s="279"/>
      <c r="CV133" s="279"/>
      <c r="CW133" s="189"/>
      <c r="CX133" s="189"/>
      <c r="CY133" s="189"/>
      <c r="CZ133" s="189"/>
      <c r="DA133" s="194"/>
      <c r="DB133" s="281"/>
      <c r="DC133" s="279"/>
      <c r="DD133" s="279"/>
      <c r="DE133" s="189"/>
      <c r="DF133" s="189"/>
      <c r="DG133" s="189"/>
      <c r="DH133" s="189"/>
      <c r="DI133" s="194"/>
      <c r="DJ133" s="281"/>
      <c r="DK133" s="279"/>
      <c r="DL133" s="279"/>
      <c r="DM133" s="189"/>
      <c r="DN133" s="189"/>
      <c r="DO133" s="189"/>
      <c r="DP133" s="189"/>
      <c r="DQ133" s="194"/>
      <c r="DR133" s="281"/>
      <c r="DS133" s="279"/>
      <c r="DT133" s="279"/>
      <c r="DU133" s="189"/>
      <c r="DV133" s="189"/>
      <c r="DW133" s="189"/>
      <c r="DX133" s="189"/>
      <c r="DY133" s="194"/>
      <c r="DZ133" s="281"/>
      <c r="EA133" s="279"/>
      <c r="EB133" s="279"/>
      <c r="EC133" s="189"/>
      <c r="ED133" s="189"/>
      <c r="EE133" s="189"/>
      <c r="EF133" s="189"/>
      <c r="EG133" s="194"/>
      <c r="EH133" s="281"/>
      <c r="EI133" s="279"/>
      <c r="EJ133" s="279"/>
      <c r="EK133" s="189"/>
      <c r="EL133" s="189"/>
      <c r="EM133" s="189"/>
      <c r="EN133" s="189"/>
      <c r="EO133" s="194"/>
      <c r="EP133" s="281"/>
      <c r="EQ133" s="279"/>
      <c r="ER133" s="279"/>
      <c r="ES133" s="189"/>
      <c r="ET133" s="189"/>
      <c r="EU133" s="189"/>
      <c r="EV133" s="189"/>
      <c r="EW133" s="194"/>
      <c r="EX133" s="281"/>
      <c r="EY133" s="279"/>
      <c r="EZ133" s="279"/>
      <c r="FA133" s="189"/>
      <c r="FB133" s="189"/>
      <c r="FC133" s="189"/>
      <c r="FD133" s="189"/>
      <c r="FE133" s="194"/>
      <c r="FF133" s="281"/>
      <c r="FG133" s="279"/>
      <c r="FH133" s="279"/>
      <c r="FI133" s="189"/>
      <c r="FJ133" s="189"/>
      <c r="FK133" s="189"/>
      <c r="FL133" s="189"/>
      <c r="FM133" s="194"/>
      <c r="FN133" s="281"/>
      <c r="FO133" s="279"/>
      <c r="FP133" s="279"/>
      <c r="FQ133" s="189"/>
      <c r="FR133" s="189"/>
      <c r="FS133" s="189"/>
      <c r="FT133" s="189"/>
      <c r="FU133" s="194"/>
      <c r="FV133" s="281"/>
      <c r="FW133" s="279"/>
      <c r="FX133" s="279"/>
      <c r="FY133" s="189"/>
      <c r="FZ133" s="189"/>
      <c r="GA133" s="189"/>
      <c r="GB133" s="189"/>
      <c r="GC133" s="194"/>
      <c r="GD133" s="281"/>
      <c r="GE133" s="279"/>
      <c r="GF133" s="279"/>
      <c r="GG133" s="189"/>
      <c r="GH133" s="189"/>
      <c r="GI133" s="189"/>
      <c r="GJ133" s="189"/>
      <c r="GK133" s="194"/>
      <c r="GL133" s="281"/>
      <c r="GM133" s="279"/>
      <c r="GN133" s="279"/>
      <c r="GO133" s="189"/>
      <c r="GP133" s="189"/>
      <c r="GQ133" s="189"/>
      <c r="GR133" s="189"/>
      <c r="GS133" s="194"/>
      <c r="GT133" s="281"/>
      <c r="GU133" s="279"/>
      <c r="GV133" s="279"/>
      <c r="GW133" s="189"/>
      <c r="GX133" s="189"/>
      <c r="GY133" s="189"/>
      <c r="GZ133" s="189"/>
      <c r="HA133" s="194"/>
      <c r="HB133" s="281"/>
      <c r="HC133" s="279"/>
      <c r="HD133" s="279"/>
      <c r="HE133" s="189"/>
      <c r="HF133" s="189"/>
      <c r="HG133" s="189"/>
      <c r="HH133" s="189"/>
      <c r="HI133" s="194"/>
      <c r="HJ133" s="281"/>
      <c r="HK133" s="279"/>
      <c r="HL133" s="279"/>
      <c r="HM133" s="189"/>
      <c r="HN133" s="189"/>
      <c r="HO133" s="189"/>
      <c r="HP133" s="189"/>
      <c r="HQ133" s="194"/>
      <c r="HR133" s="281"/>
      <c r="HS133" s="279"/>
      <c r="HT133" s="279"/>
      <c r="HU133" s="189"/>
      <c r="HV133" s="189"/>
      <c r="HW133" s="189"/>
      <c r="HX133" s="189"/>
      <c r="HY133" s="194"/>
      <c r="HZ133" s="281"/>
      <c r="IA133" s="279"/>
      <c r="IB133" s="279"/>
      <c r="IC133" s="189"/>
      <c r="ID133" s="189"/>
      <c r="IE133" s="189"/>
      <c r="IF133" s="189"/>
      <c r="IG133" s="194"/>
      <c r="IH133" s="281"/>
      <c r="II133" s="279"/>
      <c r="IJ133" s="279"/>
      <c r="IK133" s="189"/>
      <c r="IL133" s="189"/>
      <c r="IM133" s="189"/>
      <c r="IN133" s="189"/>
    </row>
    <row r="134" spans="1:248" s="188" customFormat="1" ht="15" customHeight="1">
      <c r="A134" s="227">
        <v>2</v>
      </c>
      <c r="B134" s="47" t="s">
        <v>228</v>
      </c>
      <c r="C134" s="212"/>
      <c r="D134" s="212"/>
      <c r="E134" s="215"/>
      <c r="F134" s="215"/>
      <c r="G134" s="207"/>
      <c r="H134" s="330">
        <f>H136+H137+H138+H135</f>
        <v>2126938</v>
      </c>
      <c r="I134" s="227"/>
      <c r="J134" s="198"/>
      <c r="L134" s="331"/>
      <c r="M134" s="279"/>
      <c r="N134" s="189"/>
      <c r="O134" s="189"/>
      <c r="P134" s="189"/>
      <c r="Q134" s="194"/>
      <c r="R134" s="281"/>
      <c r="S134" s="279"/>
      <c r="T134" s="279"/>
      <c r="U134" s="189"/>
      <c r="V134" s="189"/>
      <c r="W134" s="189"/>
      <c r="X134" s="189"/>
      <c r="Y134" s="194"/>
      <c r="Z134" s="281"/>
      <c r="AA134" s="279"/>
      <c r="AB134" s="279"/>
      <c r="AC134" s="189"/>
      <c r="AD134" s="189"/>
      <c r="AE134" s="189"/>
      <c r="AF134" s="189"/>
      <c r="AG134" s="194"/>
      <c r="AH134" s="281"/>
      <c r="AI134" s="279"/>
      <c r="AJ134" s="279"/>
      <c r="AK134" s="189"/>
      <c r="AL134" s="189"/>
      <c r="AM134" s="189"/>
      <c r="AN134" s="189"/>
      <c r="AO134" s="194"/>
      <c r="AP134" s="281"/>
      <c r="AQ134" s="279"/>
      <c r="AR134" s="279"/>
      <c r="AS134" s="189"/>
      <c r="AT134" s="189"/>
      <c r="AU134" s="189"/>
      <c r="AV134" s="189"/>
      <c r="AW134" s="194"/>
      <c r="AX134" s="281"/>
      <c r="AY134" s="279"/>
      <c r="AZ134" s="279"/>
      <c r="BA134" s="189"/>
      <c r="BB134" s="189"/>
      <c r="BC134" s="189"/>
      <c r="BD134" s="189"/>
      <c r="BE134" s="194"/>
      <c r="BF134" s="281"/>
      <c r="BG134" s="279"/>
      <c r="BH134" s="279"/>
      <c r="BI134" s="189"/>
      <c r="BJ134" s="189"/>
      <c r="BK134" s="189"/>
      <c r="BL134" s="189"/>
      <c r="BM134" s="194"/>
      <c r="BN134" s="281"/>
      <c r="BO134" s="279"/>
      <c r="BP134" s="279"/>
      <c r="BQ134" s="189"/>
      <c r="BR134" s="189"/>
      <c r="BS134" s="189"/>
      <c r="BT134" s="189"/>
      <c r="BU134" s="194"/>
      <c r="BV134" s="281"/>
      <c r="BW134" s="279"/>
      <c r="BX134" s="279"/>
      <c r="BY134" s="189"/>
      <c r="BZ134" s="189"/>
      <c r="CA134" s="189"/>
      <c r="CB134" s="189"/>
      <c r="CC134" s="194"/>
      <c r="CD134" s="281"/>
      <c r="CE134" s="279"/>
      <c r="CF134" s="279"/>
      <c r="CG134" s="189"/>
      <c r="CH134" s="189"/>
      <c r="CI134" s="189"/>
      <c r="CJ134" s="189"/>
      <c r="CK134" s="194"/>
      <c r="CL134" s="281"/>
      <c r="CM134" s="279"/>
      <c r="CN134" s="279"/>
      <c r="CO134" s="189"/>
      <c r="CP134" s="189"/>
      <c r="CQ134" s="189"/>
      <c r="CR134" s="189"/>
      <c r="CS134" s="194"/>
      <c r="CT134" s="281"/>
      <c r="CU134" s="279"/>
      <c r="CV134" s="279"/>
      <c r="CW134" s="189"/>
      <c r="CX134" s="189"/>
      <c r="CY134" s="189"/>
      <c r="CZ134" s="189"/>
      <c r="DA134" s="194"/>
      <c r="DB134" s="281"/>
      <c r="DC134" s="279"/>
      <c r="DD134" s="279"/>
      <c r="DE134" s="189"/>
      <c r="DF134" s="189"/>
      <c r="DG134" s="189"/>
      <c r="DH134" s="189"/>
      <c r="DI134" s="194"/>
      <c r="DJ134" s="281"/>
      <c r="DK134" s="279"/>
      <c r="DL134" s="279"/>
      <c r="DM134" s="189"/>
      <c r="DN134" s="189"/>
      <c r="DO134" s="189"/>
      <c r="DP134" s="189"/>
      <c r="DQ134" s="194"/>
      <c r="DR134" s="281"/>
      <c r="DS134" s="279"/>
      <c r="DT134" s="279"/>
      <c r="DU134" s="189"/>
      <c r="DV134" s="189"/>
      <c r="DW134" s="189"/>
      <c r="DX134" s="189"/>
      <c r="DY134" s="194"/>
      <c r="DZ134" s="281"/>
      <c r="EA134" s="279"/>
      <c r="EB134" s="279"/>
      <c r="EC134" s="189"/>
      <c r="ED134" s="189"/>
      <c r="EE134" s="189"/>
      <c r="EF134" s="189"/>
      <c r="EG134" s="194"/>
      <c r="EH134" s="281"/>
      <c r="EI134" s="279"/>
      <c r="EJ134" s="279"/>
      <c r="EK134" s="189"/>
      <c r="EL134" s="189"/>
      <c r="EM134" s="189"/>
      <c r="EN134" s="189"/>
      <c r="EO134" s="194"/>
      <c r="EP134" s="281"/>
      <c r="EQ134" s="279"/>
      <c r="ER134" s="279"/>
      <c r="ES134" s="189"/>
      <c r="ET134" s="189"/>
      <c r="EU134" s="189"/>
      <c r="EV134" s="189"/>
      <c r="EW134" s="194"/>
      <c r="EX134" s="281"/>
      <c r="EY134" s="279"/>
      <c r="EZ134" s="279"/>
      <c r="FA134" s="189"/>
      <c r="FB134" s="189"/>
      <c r="FC134" s="189"/>
      <c r="FD134" s="189"/>
      <c r="FE134" s="194"/>
      <c r="FF134" s="281"/>
      <c r="FG134" s="279"/>
      <c r="FH134" s="279"/>
      <c r="FI134" s="189"/>
      <c r="FJ134" s="189"/>
      <c r="FK134" s="189"/>
      <c r="FL134" s="189"/>
      <c r="FM134" s="194"/>
      <c r="FN134" s="281"/>
      <c r="FO134" s="279"/>
      <c r="FP134" s="279"/>
      <c r="FQ134" s="189"/>
      <c r="FR134" s="189"/>
      <c r="FS134" s="189"/>
      <c r="FT134" s="189"/>
      <c r="FU134" s="194"/>
      <c r="FV134" s="281"/>
      <c r="FW134" s="279"/>
      <c r="FX134" s="279"/>
      <c r="FY134" s="189"/>
      <c r="FZ134" s="189"/>
      <c r="GA134" s="189"/>
      <c r="GB134" s="189"/>
      <c r="GC134" s="194"/>
      <c r="GD134" s="281"/>
      <c r="GE134" s="279"/>
      <c r="GF134" s="279"/>
      <c r="GG134" s="189"/>
      <c r="GH134" s="189"/>
      <c r="GI134" s="189"/>
      <c r="GJ134" s="189"/>
      <c r="GK134" s="194"/>
      <c r="GL134" s="281"/>
      <c r="GM134" s="279"/>
      <c r="GN134" s="279"/>
      <c r="GO134" s="189"/>
      <c r="GP134" s="189"/>
      <c r="GQ134" s="189"/>
      <c r="GR134" s="189"/>
      <c r="GS134" s="194"/>
      <c r="GT134" s="281"/>
      <c r="GU134" s="279"/>
      <c r="GV134" s="279"/>
      <c r="GW134" s="189"/>
      <c r="GX134" s="189"/>
      <c r="GY134" s="189"/>
      <c r="GZ134" s="189"/>
      <c r="HA134" s="194"/>
      <c r="HB134" s="281"/>
      <c r="HC134" s="279"/>
      <c r="HD134" s="279"/>
      <c r="HE134" s="189"/>
      <c r="HF134" s="189"/>
      <c r="HG134" s="189"/>
      <c r="HH134" s="189"/>
      <c r="HI134" s="194"/>
      <c r="HJ134" s="281"/>
      <c r="HK134" s="279"/>
      <c r="HL134" s="279"/>
      <c r="HM134" s="189"/>
      <c r="HN134" s="189"/>
      <c r="HO134" s="189"/>
      <c r="HP134" s="189"/>
      <c r="HQ134" s="194"/>
      <c r="HR134" s="281"/>
      <c r="HS134" s="279"/>
      <c r="HT134" s="279"/>
      <c r="HU134" s="189"/>
      <c r="HV134" s="189"/>
      <c r="HW134" s="189"/>
      <c r="HX134" s="189"/>
      <c r="HY134" s="194"/>
      <c r="HZ134" s="281"/>
      <c r="IA134" s="279"/>
      <c r="IB134" s="279"/>
      <c r="IC134" s="189"/>
      <c r="ID134" s="189"/>
      <c r="IE134" s="189"/>
      <c r="IF134" s="189"/>
      <c r="IG134" s="194"/>
      <c r="IH134" s="281"/>
      <c r="II134" s="279"/>
      <c r="IJ134" s="279"/>
      <c r="IK134" s="189"/>
      <c r="IL134" s="189"/>
      <c r="IM134" s="189"/>
      <c r="IN134" s="189"/>
    </row>
    <row r="135" spans="1:248" s="188" customFormat="1" ht="12.75">
      <c r="A135" s="227"/>
      <c r="B135" s="283" t="s">
        <v>656</v>
      </c>
      <c r="C135" s="212"/>
      <c r="D135" s="212"/>
      <c r="E135" s="215"/>
      <c r="F135" s="215"/>
      <c r="G135" s="207"/>
      <c r="H135" s="218">
        <v>1823938</v>
      </c>
      <c r="I135" s="227"/>
      <c r="L135" s="281"/>
      <c r="M135" s="279"/>
      <c r="N135" s="189"/>
      <c r="O135" s="189"/>
      <c r="P135" s="189"/>
      <c r="Q135" s="194"/>
      <c r="R135" s="281"/>
      <c r="S135" s="279"/>
      <c r="T135" s="279"/>
      <c r="U135" s="189"/>
      <c r="V135" s="189"/>
      <c r="W135" s="189"/>
      <c r="X135" s="189"/>
      <c r="Y135" s="194"/>
      <c r="Z135" s="281"/>
      <c r="AA135" s="279"/>
      <c r="AB135" s="279"/>
      <c r="AC135" s="189"/>
      <c r="AD135" s="189"/>
      <c r="AE135" s="189"/>
      <c r="AF135" s="189"/>
      <c r="AG135" s="194"/>
      <c r="AH135" s="281"/>
      <c r="AI135" s="279"/>
      <c r="AJ135" s="279"/>
      <c r="AK135" s="189"/>
      <c r="AL135" s="189"/>
      <c r="AM135" s="189"/>
      <c r="AN135" s="189"/>
      <c r="AO135" s="194"/>
      <c r="AP135" s="281"/>
      <c r="AQ135" s="279"/>
      <c r="AR135" s="279"/>
      <c r="AS135" s="189"/>
      <c r="AT135" s="189"/>
      <c r="AU135" s="189"/>
      <c r="AV135" s="189"/>
      <c r="AW135" s="194"/>
      <c r="AX135" s="281"/>
      <c r="AY135" s="279"/>
      <c r="AZ135" s="279"/>
      <c r="BA135" s="189"/>
      <c r="BB135" s="189"/>
      <c r="BC135" s="189"/>
      <c r="BD135" s="189"/>
      <c r="BE135" s="194"/>
      <c r="BF135" s="281"/>
      <c r="BG135" s="279"/>
      <c r="BH135" s="279"/>
      <c r="BI135" s="189"/>
      <c r="BJ135" s="189"/>
      <c r="BK135" s="189"/>
      <c r="BL135" s="189"/>
      <c r="BM135" s="194"/>
      <c r="BN135" s="281"/>
      <c r="BO135" s="279"/>
      <c r="BP135" s="279"/>
      <c r="BQ135" s="189"/>
      <c r="BR135" s="189"/>
      <c r="BS135" s="189"/>
      <c r="BT135" s="189"/>
      <c r="BU135" s="194"/>
      <c r="BV135" s="281"/>
      <c r="BW135" s="279"/>
      <c r="BX135" s="279"/>
      <c r="BY135" s="189"/>
      <c r="BZ135" s="189"/>
      <c r="CA135" s="189"/>
      <c r="CB135" s="189"/>
      <c r="CC135" s="194"/>
      <c r="CD135" s="281"/>
      <c r="CE135" s="279"/>
      <c r="CF135" s="279"/>
      <c r="CG135" s="189"/>
      <c r="CH135" s="189"/>
      <c r="CI135" s="189"/>
      <c r="CJ135" s="189"/>
      <c r="CK135" s="194"/>
      <c r="CL135" s="281"/>
      <c r="CM135" s="279"/>
      <c r="CN135" s="279"/>
      <c r="CO135" s="189"/>
      <c r="CP135" s="189"/>
      <c r="CQ135" s="189"/>
      <c r="CR135" s="189"/>
      <c r="CS135" s="194"/>
      <c r="CT135" s="281"/>
      <c r="CU135" s="279"/>
      <c r="CV135" s="279"/>
      <c r="CW135" s="189"/>
      <c r="CX135" s="189"/>
      <c r="CY135" s="189"/>
      <c r="CZ135" s="189"/>
      <c r="DA135" s="194"/>
      <c r="DB135" s="281"/>
      <c r="DC135" s="279"/>
      <c r="DD135" s="279"/>
      <c r="DE135" s="189"/>
      <c r="DF135" s="189"/>
      <c r="DG135" s="189"/>
      <c r="DH135" s="189"/>
      <c r="DI135" s="194"/>
      <c r="DJ135" s="281"/>
      <c r="DK135" s="279"/>
      <c r="DL135" s="279"/>
      <c r="DM135" s="189"/>
      <c r="DN135" s="189"/>
      <c r="DO135" s="189"/>
      <c r="DP135" s="189"/>
      <c r="DQ135" s="194"/>
      <c r="DR135" s="281"/>
      <c r="DS135" s="279"/>
      <c r="DT135" s="279"/>
      <c r="DU135" s="189"/>
      <c r="DV135" s="189"/>
      <c r="DW135" s="189"/>
      <c r="DX135" s="189"/>
      <c r="DY135" s="194"/>
      <c r="DZ135" s="281"/>
      <c r="EA135" s="279"/>
      <c r="EB135" s="279"/>
      <c r="EC135" s="189"/>
      <c r="ED135" s="189"/>
      <c r="EE135" s="189"/>
      <c r="EF135" s="189"/>
      <c r="EG135" s="194"/>
      <c r="EH135" s="281"/>
      <c r="EI135" s="279"/>
      <c r="EJ135" s="279"/>
      <c r="EK135" s="189"/>
      <c r="EL135" s="189"/>
      <c r="EM135" s="189"/>
      <c r="EN135" s="189"/>
      <c r="EO135" s="194"/>
      <c r="EP135" s="281"/>
      <c r="EQ135" s="279"/>
      <c r="ER135" s="279"/>
      <c r="ES135" s="189"/>
      <c r="ET135" s="189"/>
      <c r="EU135" s="189"/>
      <c r="EV135" s="189"/>
      <c r="EW135" s="194"/>
      <c r="EX135" s="281"/>
      <c r="EY135" s="279"/>
      <c r="EZ135" s="279"/>
      <c r="FA135" s="189"/>
      <c r="FB135" s="189"/>
      <c r="FC135" s="189"/>
      <c r="FD135" s="189"/>
      <c r="FE135" s="194"/>
      <c r="FF135" s="281"/>
      <c r="FG135" s="279"/>
      <c r="FH135" s="279"/>
      <c r="FI135" s="189"/>
      <c r="FJ135" s="189"/>
      <c r="FK135" s="189"/>
      <c r="FL135" s="189"/>
      <c r="FM135" s="194"/>
      <c r="FN135" s="281"/>
      <c r="FO135" s="279"/>
      <c r="FP135" s="279"/>
      <c r="FQ135" s="189"/>
      <c r="FR135" s="189"/>
      <c r="FS135" s="189"/>
      <c r="FT135" s="189"/>
      <c r="FU135" s="194"/>
      <c r="FV135" s="281"/>
      <c r="FW135" s="279"/>
      <c r="FX135" s="279"/>
      <c r="FY135" s="189"/>
      <c r="FZ135" s="189"/>
      <c r="GA135" s="189"/>
      <c r="GB135" s="189"/>
      <c r="GC135" s="194"/>
      <c r="GD135" s="281"/>
      <c r="GE135" s="279"/>
      <c r="GF135" s="279"/>
      <c r="GG135" s="189"/>
      <c r="GH135" s="189"/>
      <c r="GI135" s="189"/>
      <c r="GJ135" s="189"/>
      <c r="GK135" s="194"/>
      <c r="GL135" s="281"/>
      <c r="GM135" s="279"/>
      <c r="GN135" s="279"/>
      <c r="GO135" s="189"/>
      <c r="GP135" s="189"/>
      <c r="GQ135" s="189"/>
      <c r="GR135" s="189"/>
      <c r="GS135" s="194"/>
      <c r="GT135" s="281"/>
      <c r="GU135" s="279"/>
      <c r="GV135" s="279"/>
      <c r="GW135" s="189"/>
      <c r="GX135" s="189"/>
      <c r="GY135" s="189"/>
      <c r="GZ135" s="189"/>
      <c r="HA135" s="194"/>
      <c r="HB135" s="281"/>
      <c r="HC135" s="279"/>
      <c r="HD135" s="279"/>
      <c r="HE135" s="189"/>
      <c r="HF135" s="189"/>
      <c r="HG135" s="189"/>
      <c r="HH135" s="189"/>
      <c r="HI135" s="194"/>
      <c r="HJ135" s="281"/>
      <c r="HK135" s="279"/>
      <c r="HL135" s="279"/>
      <c r="HM135" s="189"/>
      <c r="HN135" s="189"/>
      <c r="HO135" s="189"/>
      <c r="HP135" s="189"/>
      <c r="HQ135" s="194"/>
      <c r="HR135" s="281"/>
      <c r="HS135" s="279"/>
      <c r="HT135" s="279"/>
      <c r="HU135" s="189"/>
      <c r="HV135" s="189"/>
      <c r="HW135" s="189"/>
      <c r="HX135" s="189"/>
      <c r="HY135" s="194"/>
      <c r="HZ135" s="281"/>
      <c r="IA135" s="279"/>
      <c r="IB135" s="279"/>
      <c r="IC135" s="189"/>
      <c r="ID135" s="189"/>
      <c r="IE135" s="189"/>
      <c r="IF135" s="189"/>
      <c r="IG135" s="194"/>
      <c r="IH135" s="281"/>
      <c r="II135" s="279"/>
      <c r="IJ135" s="279"/>
      <c r="IK135" s="189"/>
      <c r="IL135" s="189"/>
      <c r="IM135" s="189"/>
      <c r="IN135" s="189"/>
    </row>
    <row r="136" spans="1:248" s="188" customFormat="1" ht="12.75">
      <c r="A136" s="227">
        <v>1</v>
      </c>
      <c r="B136" s="244" t="s">
        <v>557</v>
      </c>
      <c r="C136" s="212"/>
      <c r="D136" s="212"/>
      <c r="E136" s="215"/>
      <c r="F136" s="215"/>
      <c r="G136" s="207"/>
      <c r="H136" s="218">
        <v>3000</v>
      </c>
      <c r="I136" s="227"/>
      <c r="J136" s="198"/>
      <c r="L136" s="281"/>
      <c r="M136" s="279"/>
      <c r="N136" s="189"/>
      <c r="O136" s="189"/>
      <c r="P136" s="189"/>
      <c r="Q136" s="194"/>
      <c r="R136" s="281"/>
      <c r="S136" s="279"/>
      <c r="T136" s="279"/>
      <c r="U136" s="189"/>
      <c r="V136" s="189"/>
      <c r="W136" s="189"/>
      <c r="X136" s="189"/>
      <c r="Y136" s="194"/>
      <c r="Z136" s="281"/>
      <c r="AA136" s="279"/>
      <c r="AB136" s="279"/>
      <c r="AC136" s="189"/>
      <c r="AD136" s="189"/>
      <c r="AE136" s="189"/>
      <c r="AF136" s="189"/>
      <c r="AG136" s="194"/>
      <c r="AH136" s="281"/>
      <c r="AI136" s="279"/>
      <c r="AJ136" s="279"/>
      <c r="AK136" s="189"/>
      <c r="AL136" s="189"/>
      <c r="AM136" s="189"/>
      <c r="AN136" s="189"/>
      <c r="AO136" s="194"/>
      <c r="AP136" s="281"/>
      <c r="AQ136" s="279"/>
      <c r="AR136" s="279"/>
      <c r="AS136" s="189"/>
      <c r="AT136" s="189"/>
      <c r="AU136" s="189"/>
      <c r="AV136" s="189"/>
      <c r="AW136" s="194"/>
      <c r="AX136" s="281"/>
      <c r="AY136" s="279"/>
      <c r="AZ136" s="279"/>
      <c r="BA136" s="189"/>
      <c r="BB136" s="189"/>
      <c r="BC136" s="189"/>
      <c r="BD136" s="189"/>
      <c r="BE136" s="194"/>
      <c r="BF136" s="281"/>
      <c r="BG136" s="279"/>
      <c r="BH136" s="279"/>
      <c r="BI136" s="189"/>
      <c r="BJ136" s="189"/>
      <c r="BK136" s="189"/>
      <c r="BL136" s="189"/>
      <c r="BM136" s="194"/>
      <c r="BN136" s="281"/>
      <c r="BO136" s="279"/>
      <c r="BP136" s="279"/>
      <c r="BQ136" s="189"/>
      <c r="BR136" s="189"/>
      <c r="BS136" s="189"/>
      <c r="BT136" s="189"/>
      <c r="BU136" s="194"/>
      <c r="BV136" s="281"/>
      <c r="BW136" s="279"/>
      <c r="BX136" s="279"/>
      <c r="BY136" s="189"/>
      <c r="BZ136" s="189"/>
      <c r="CA136" s="189"/>
      <c r="CB136" s="189"/>
      <c r="CC136" s="194"/>
      <c r="CD136" s="281"/>
      <c r="CE136" s="279"/>
      <c r="CF136" s="279"/>
      <c r="CG136" s="189"/>
      <c r="CH136" s="189"/>
      <c r="CI136" s="189"/>
      <c r="CJ136" s="189"/>
      <c r="CK136" s="194"/>
      <c r="CL136" s="281"/>
      <c r="CM136" s="279"/>
      <c r="CN136" s="279"/>
      <c r="CO136" s="189"/>
      <c r="CP136" s="189"/>
      <c r="CQ136" s="189"/>
      <c r="CR136" s="189"/>
      <c r="CS136" s="194"/>
      <c r="CT136" s="281"/>
      <c r="CU136" s="279"/>
      <c r="CV136" s="279"/>
      <c r="CW136" s="189"/>
      <c r="CX136" s="189"/>
      <c r="CY136" s="189"/>
      <c r="CZ136" s="189"/>
      <c r="DA136" s="194"/>
      <c r="DB136" s="281"/>
      <c r="DC136" s="279"/>
      <c r="DD136" s="279"/>
      <c r="DE136" s="189"/>
      <c r="DF136" s="189"/>
      <c r="DG136" s="189"/>
      <c r="DH136" s="189"/>
      <c r="DI136" s="194"/>
      <c r="DJ136" s="281"/>
      <c r="DK136" s="279"/>
      <c r="DL136" s="279"/>
      <c r="DM136" s="189"/>
      <c r="DN136" s="189"/>
      <c r="DO136" s="189"/>
      <c r="DP136" s="189"/>
      <c r="DQ136" s="194"/>
      <c r="DR136" s="281"/>
      <c r="DS136" s="279"/>
      <c r="DT136" s="279"/>
      <c r="DU136" s="189"/>
      <c r="DV136" s="189"/>
      <c r="DW136" s="189"/>
      <c r="DX136" s="189"/>
      <c r="DY136" s="194"/>
      <c r="DZ136" s="281"/>
      <c r="EA136" s="279"/>
      <c r="EB136" s="279"/>
      <c r="EC136" s="189"/>
      <c r="ED136" s="189"/>
      <c r="EE136" s="189"/>
      <c r="EF136" s="189"/>
      <c r="EG136" s="194"/>
      <c r="EH136" s="281"/>
      <c r="EI136" s="279"/>
      <c r="EJ136" s="279"/>
      <c r="EK136" s="189"/>
      <c r="EL136" s="189"/>
      <c r="EM136" s="189"/>
      <c r="EN136" s="189"/>
      <c r="EO136" s="194"/>
      <c r="EP136" s="281"/>
      <c r="EQ136" s="279"/>
      <c r="ER136" s="279"/>
      <c r="ES136" s="189"/>
      <c r="ET136" s="189"/>
      <c r="EU136" s="189"/>
      <c r="EV136" s="189"/>
      <c r="EW136" s="194"/>
      <c r="EX136" s="281"/>
      <c r="EY136" s="279"/>
      <c r="EZ136" s="279"/>
      <c r="FA136" s="189"/>
      <c r="FB136" s="189"/>
      <c r="FC136" s="189"/>
      <c r="FD136" s="189"/>
      <c r="FE136" s="194"/>
      <c r="FF136" s="281"/>
      <c r="FG136" s="279"/>
      <c r="FH136" s="279"/>
      <c r="FI136" s="189"/>
      <c r="FJ136" s="189"/>
      <c r="FK136" s="189"/>
      <c r="FL136" s="189"/>
      <c r="FM136" s="194"/>
      <c r="FN136" s="281"/>
      <c r="FO136" s="279"/>
      <c r="FP136" s="279"/>
      <c r="FQ136" s="189"/>
      <c r="FR136" s="189"/>
      <c r="FS136" s="189"/>
      <c r="FT136" s="189"/>
      <c r="FU136" s="194"/>
      <c r="FV136" s="281"/>
      <c r="FW136" s="279"/>
      <c r="FX136" s="279"/>
      <c r="FY136" s="189"/>
      <c r="FZ136" s="189"/>
      <c r="GA136" s="189"/>
      <c r="GB136" s="189"/>
      <c r="GC136" s="194"/>
      <c r="GD136" s="281"/>
      <c r="GE136" s="279"/>
      <c r="GF136" s="279"/>
      <c r="GG136" s="189"/>
      <c r="GH136" s="189"/>
      <c r="GI136" s="189"/>
      <c r="GJ136" s="189"/>
      <c r="GK136" s="194"/>
      <c r="GL136" s="281"/>
      <c r="GM136" s="279"/>
      <c r="GN136" s="279"/>
      <c r="GO136" s="189"/>
      <c r="GP136" s="189"/>
      <c r="GQ136" s="189"/>
      <c r="GR136" s="189"/>
      <c r="GS136" s="194"/>
      <c r="GT136" s="281"/>
      <c r="GU136" s="279"/>
      <c r="GV136" s="279"/>
      <c r="GW136" s="189"/>
      <c r="GX136" s="189"/>
      <c r="GY136" s="189"/>
      <c r="GZ136" s="189"/>
      <c r="HA136" s="194"/>
      <c r="HB136" s="281"/>
      <c r="HC136" s="279"/>
      <c r="HD136" s="279"/>
      <c r="HE136" s="189"/>
      <c r="HF136" s="189"/>
      <c r="HG136" s="189"/>
      <c r="HH136" s="189"/>
      <c r="HI136" s="194"/>
      <c r="HJ136" s="281"/>
      <c r="HK136" s="279"/>
      <c r="HL136" s="279"/>
      <c r="HM136" s="189"/>
      <c r="HN136" s="189"/>
      <c r="HO136" s="189"/>
      <c r="HP136" s="189"/>
      <c r="HQ136" s="194"/>
      <c r="HR136" s="281"/>
      <c r="HS136" s="279"/>
      <c r="HT136" s="279"/>
      <c r="HU136" s="189"/>
      <c r="HV136" s="189"/>
      <c r="HW136" s="189"/>
      <c r="HX136" s="189"/>
      <c r="HY136" s="194"/>
      <c r="HZ136" s="281"/>
      <c r="IA136" s="279"/>
      <c r="IB136" s="279"/>
      <c r="IC136" s="189"/>
      <c r="ID136" s="189"/>
      <c r="IE136" s="189"/>
      <c r="IF136" s="189"/>
      <c r="IG136" s="194"/>
      <c r="IH136" s="281"/>
      <c r="II136" s="279"/>
      <c r="IJ136" s="279"/>
      <c r="IK136" s="189"/>
      <c r="IL136" s="189"/>
      <c r="IM136" s="189"/>
      <c r="IN136" s="189"/>
    </row>
    <row r="137" spans="1:248" s="188" customFormat="1" ht="12.75">
      <c r="A137" s="227">
        <v>2</v>
      </c>
      <c r="B137" s="244" t="s">
        <v>67</v>
      </c>
      <c r="C137" s="212"/>
      <c r="D137" s="212"/>
      <c r="E137" s="215"/>
      <c r="F137" s="215"/>
      <c r="G137" s="260"/>
      <c r="H137" s="223">
        <v>150000</v>
      </c>
      <c r="I137" s="227"/>
      <c r="J137" s="281"/>
      <c r="K137" s="279"/>
      <c r="L137" s="279"/>
      <c r="M137" s="189"/>
      <c r="N137" s="189"/>
      <c r="O137" s="189"/>
      <c r="P137" s="189"/>
      <c r="Q137" s="194"/>
      <c r="R137" s="281"/>
      <c r="S137" s="279"/>
      <c r="T137" s="279"/>
      <c r="U137" s="189"/>
      <c r="V137" s="189"/>
      <c r="W137" s="189"/>
      <c r="X137" s="189"/>
      <c r="Y137" s="194"/>
      <c r="Z137" s="281"/>
      <c r="AA137" s="279"/>
      <c r="AB137" s="279"/>
      <c r="AC137" s="189"/>
      <c r="AD137" s="189"/>
      <c r="AE137" s="189"/>
      <c r="AF137" s="189"/>
      <c r="AG137" s="194"/>
      <c r="AH137" s="281"/>
      <c r="AI137" s="279"/>
      <c r="AJ137" s="279"/>
      <c r="AK137" s="189"/>
      <c r="AL137" s="189"/>
      <c r="AM137" s="189"/>
      <c r="AN137" s="189"/>
      <c r="AO137" s="194"/>
      <c r="AP137" s="281"/>
      <c r="AQ137" s="279"/>
      <c r="AR137" s="279"/>
      <c r="AS137" s="189"/>
      <c r="AT137" s="189"/>
      <c r="AU137" s="189"/>
      <c r="AV137" s="189"/>
      <c r="AW137" s="194"/>
      <c r="AX137" s="281"/>
      <c r="AY137" s="279"/>
      <c r="AZ137" s="279"/>
      <c r="BA137" s="189"/>
      <c r="BB137" s="189"/>
      <c r="BC137" s="189"/>
      <c r="BD137" s="189"/>
      <c r="BE137" s="194"/>
      <c r="BF137" s="281"/>
      <c r="BG137" s="279"/>
      <c r="BH137" s="279"/>
      <c r="BI137" s="189"/>
      <c r="BJ137" s="189"/>
      <c r="BK137" s="189"/>
      <c r="BL137" s="189"/>
      <c r="BM137" s="194"/>
      <c r="BN137" s="281"/>
      <c r="BO137" s="279"/>
      <c r="BP137" s="279"/>
      <c r="BQ137" s="189"/>
      <c r="BR137" s="189"/>
      <c r="BS137" s="189"/>
      <c r="BT137" s="189"/>
      <c r="BU137" s="194"/>
      <c r="BV137" s="281"/>
      <c r="BW137" s="279"/>
      <c r="BX137" s="279"/>
      <c r="BY137" s="189"/>
      <c r="BZ137" s="189"/>
      <c r="CA137" s="189"/>
      <c r="CB137" s="189"/>
      <c r="CC137" s="194"/>
      <c r="CD137" s="281"/>
      <c r="CE137" s="279"/>
      <c r="CF137" s="279"/>
      <c r="CG137" s="189"/>
      <c r="CH137" s="189"/>
      <c r="CI137" s="189"/>
      <c r="CJ137" s="189"/>
      <c r="CK137" s="194"/>
      <c r="CL137" s="281"/>
      <c r="CM137" s="279"/>
      <c r="CN137" s="279"/>
      <c r="CO137" s="189"/>
      <c r="CP137" s="189"/>
      <c r="CQ137" s="189"/>
      <c r="CR137" s="189"/>
      <c r="CS137" s="194"/>
      <c r="CT137" s="281"/>
      <c r="CU137" s="279"/>
      <c r="CV137" s="279"/>
      <c r="CW137" s="189"/>
      <c r="CX137" s="189"/>
      <c r="CY137" s="189"/>
      <c r="CZ137" s="189"/>
      <c r="DA137" s="194"/>
      <c r="DB137" s="281"/>
      <c r="DC137" s="279"/>
      <c r="DD137" s="279"/>
      <c r="DE137" s="189"/>
      <c r="DF137" s="189"/>
      <c r="DG137" s="189"/>
      <c r="DH137" s="189"/>
      <c r="DI137" s="194"/>
      <c r="DJ137" s="281"/>
      <c r="DK137" s="279"/>
      <c r="DL137" s="279"/>
      <c r="DM137" s="189"/>
      <c r="DN137" s="189"/>
      <c r="DO137" s="189"/>
      <c r="DP137" s="189"/>
      <c r="DQ137" s="194"/>
      <c r="DR137" s="281"/>
      <c r="DS137" s="279"/>
      <c r="DT137" s="279"/>
      <c r="DU137" s="189"/>
      <c r="DV137" s="189"/>
      <c r="DW137" s="189"/>
      <c r="DX137" s="189"/>
      <c r="DY137" s="194"/>
      <c r="DZ137" s="281"/>
      <c r="EA137" s="279"/>
      <c r="EB137" s="279"/>
      <c r="EC137" s="189"/>
      <c r="ED137" s="189"/>
      <c r="EE137" s="189"/>
      <c r="EF137" s="189"/>
      <c r="EG137" s="194"/>
      <c r="EH137" s="281"/>
      <c r="EI137" s="279"/>
      <c r="EJ137" s="279"/>
      <c r="EK137" s="189"/>
      <c r="EL137" s="189"/>
      <c r="EM137" s="189"/>
      <c r="EN137" s="189"/>
      <c r="EO137" s="194"/>
      <c r="EP137" s="281"/>
      <c r="EQ137" s="279"/>
      <c r="ER137" s="279"/>
      <c r="ES137" s="189"/>
      <c r="ET137" s="189"/>
      <c r="EU137" s="189"/>
      <c r="EV137" s="189"/>
      <c r="EW137" s="194"/>
      <c r="EX137" s="281"/>
      <c r="EY137" s="279"/>
      <c r="EZ137" s="279"/>
      <c r="FA137" s="189"/>
      <c r="FB137" s="189"/>
      <c r="FC137" s="189"/>
      <c r="FD137" s="189"/>
      <c r="FE137" s="194"/>
      <c r="FF137" s="281"/>
      <c r="FG137" s="279"/>
      <c r="FH137" s="279"/>
      <c r="FI137" s="189"/>
      <c r="FJ137" s="189"/>
      <c r="FK137" s="189"/>
      <c r="FL137" s="189"/>
      <c r="FM137" s="194"/>
      <c r="FN137" s="281"/>
      <c r="FO137" s="279"/>
      <c r="FP137" s="279"/>
      <c r="FQ137" s="189"/>
      <c r="FR137" s="189"/>
      <c r="FS137" s="189"/>
      <c r="FT137" s="189"/>
      <c r="FU137" s="194"/>
      <c r="FV137" s="281"/>
      <c r="FW137" s="279"/>
      <c r="FX137" s="279"/>
      <c r="FY137" s="189"/>
      <c r="FZ137" s="189"/>
      <c r="GA137" s="189"/>
      <c r="GB137" s="189"/>
      <c r="GC137" s="194"/>
      <c r="GD137" s="281"/>
      <c r="GE137" s="279"/>
      <c r="GF137" s="279"/>
      <c r="GG137" s="189"/>
      <c r="GH137" s="189"/>
      <c r="GI137" s="189"/>
      <c r="GJ137" s="189"/>
      <c r="GK137" s="194"/>
      <c r="GL137" s="281"/>
      <c r="GM137" s="279"/>
      <c r="GN137" s="279"/>
      <c r="GO137" s="189"/>
      <c r="GP137" s="189"/>
      <c r="GQ137" s="189"/>
      <c r="GR137" s="189"/>
      <c r="GS137" s="194"/>
      <c r="GT137" s="281"/>
      <c r="GU137" s="279"/>
      <c r="GV137" s="279"/>
      <c r="GW137" s="189"/>
      <c r="GX137" s="189"/>
      <c r="GY137" s="189"/>
      <c r="GZ137" s="189"/>
      <c r="HA137" s="194"/>
      <c r="HB137" s="281"/>
      <c r="HC137" s="279"/>
      <c r="HD137" s="279"/>
      <c r="HE137" s="189"/>
      <c r="HF137" s="189"/>
      <c r="HG137" s="189"/>
      <c r="HH137" s="189"/>
      <c r="HI137" s="194"/>
      <c r="HJ137" s="281"/>
      <c r="HK137" s="279"/>
      <c r="HL137" s="279"/>
      <c r="HM137" s="189"/>
      <c r="HN137" s="189"/>
      <c r="HO137" s="189"/>
      <c r="HP137" s="189"/>
      <c r="HQ137" s="194"/>
      <c r="HR137" s="281"/>
      <c r="HS137" s="279"/>
      <c r="HT137" s="279"/>
      <c r="HU137" s="189"/>
      <c r="HV137" s="189"/>
      <c r="HW137" s="189"/>
      <c r="HX137" s="189"/>
      <c r="HY137" s="194"/>
      <c r="HZ137" s="281"/>
      <c r="IA137" s="279"/>
      <c r="IB137" s="279"/>
      <c r="IC137" s="189"/>
      <c r="ID137" s="189"/>
      <c r="IE137" s="189"/>
      <c r="IF137" s="189"/>
      <c r="IG137" s="194"/>
      <c r="IH137" s="281"/>
      <c r="II137" s="279"/>
      <c r="IJ137" s="279"/>
      <c r="IK137" s="189"/>
      <c r="IL137" s="189"/>
      <c r="IM137" s="189"/>
      <c r="IN137" s="189"/>
    </row>
    <row r="138" spans="1:248" s="188" customFormat="1" ht="12.75">
      <c r="A138" s="227">
        <v>3</v>
      </c>
      <c r="B138" s="51" t="s">
        <v>230</v>
      </c>
      <c r="C138" s="212"/>
      <c r="D138" s="212"/>
      <c r="E138" s="215"/>
      <c r="F138" s="215"/>
      <c r="G138" s="260"/>
      <c r="H138" s="223">
        <v>150000</v>
      </c>
      <c r="I138" s="227"/>
      <c r="J138" s="281"/>
      <c r="K138" s="279"/>
      <c r="L138" s="336"/>
      <c r="M138" s="189"/>
      <c r="N138" s="189"/>
      <c r="O138" s="189"/>
      <c r="P138" s="189"/>
      <c r="Q138" s="194"/>
      <c r="R138" s="281"/>
      <c r="S138" s="279"/>
      <c r="T138" s="279"/>
      <c r="U138" s="189"/>
      <c r="V138" s="189"/>
      <c r="W138" s="189"/>
      <c r="X138" s="189"/>
      <c r="Y138" s="194"/>
      <c r="Z138" s="281"/>
      <c r="AA138" s="279"/>
      <c r="AB138" s="279"/>
      <c r="AC138" s="189"/>
      <c r="AD138" s="189"/>
      <c r="AE138" s="189"/>
      <c r="AF138" s="189"/>
      <c r="AG138" s="194"/>
      <c r="AH138" s="281"/>
      <c r="AI138" s="279"/>
      <c r="AJ138" s="279"/>
      <c r="AK138" s="189"/>
      <c r="AL138" s="189"/>
      <c r="AM138" s="189"/>
      <c r="AN138" s="189"/>
      <c r="AO138" s="194"/>
      <c r="AP138" s="281"/>
      <c r="AQ138" s="279"/>
      <c r="AR138" s="279"/>
      <c r="AS138" s="189"/>
      <c r="AT138" s="189"/>
      <c r="AU138" s="189"/>
      <c r="AV138" s="189"/>
      <c r="AW138" s="194"/>
      <c r="AX138" s="281"/>
      <c r="AY138" s="279"/>
      <c r="AZ138" s="279"/>
      <c r="BA138" s="189"/>
      <c r="BB138" s="189"/>
      <c r="BC138" s="189"/>
      <c r="BD138" s="189"/>
      <c r="BE138" s="194"/>
      <c r="BF138" s="281"/>
      <c r="BG138" s="279"/>
      <c r="BH138" s="279"/>
      <c r="BI138" s="189"/>
      <c r="BJ138" s="189"/>
      <c r="BK138" s="189"/>
      <c r="BL138" s="189"/>
      <c r="BM138" s="194"/>
      <c r="BN138" s="281"/>
      <c r="BO138" s="279"/>
      <c r="BP138" s="279"/>
      <c r="BQ138" s="189"/>
      <c r="BR138" s="189"/>
      <c r="BS138" s="189"/>
      <c r="BT138" s="189"/>
      <c r="BU138" s="194"/>
      <c r="BV138" s="281"/>
      <c r="BW138" s="279"/>
      <c r="BX138" s="279"/>
      <c r="BY138" s="189"/>
      <c r="BZ138" s="189"/>
      <c r="CA138" s="189"/>
      <c r="CB138" s="189"/>
      <c r="CC138" s="194"/>
      <c r="CD138" s="281"/>
      <c r="CE138" s="279"/>
      <c r="CF138" s="279"/>
      <c r="CG138" s="189"/>
      <c r="CH138" s="189"/>
      <c r="CI138" s="189"/>
      <c r="CJ138" s="189"/>
      <c r="CK138" s="194"/>
      <c r="CL138" s="281"/>
      <c r="CM138" s="279"/>
      <c r="CN138" s="279"/>
      <c r="CO138" s="189"/>
      <c r="CP138" s="189"/>
      <c r="CQ138" s="189"/>
      <c r="CR138" s="189"/>
      <c r="CS138" s="194"/>
      <c r="CT138" s="281"/>
      <c r="CU138" s="279"/>
      <c r="CV138" s="279"/>
      <c r="CW138" s="189"/>
      <c r="CX138" s="189"/>
      <c r="CY138" s="189"/>
      <c r="CZ138" s="189"/>
      <c r="DA138" s="194"/>
      <c r="DB138" s="281"/>
      <c r="DC138" s="279"/>
      <c r="DD138" s="279"/>
      <c r="DE138" s="189"/>
      <c r="DF138" s="189"/>
      <c r="DG138" s="189"/>
      <c r="DH138" s="189"/>
      <c r="DI138" s="194"/>
      <c r="DJ138" s="281"/>
      <c r="DK138" s="279"/>
      <c r="DL138" s="279"/>
      <c r="DM138" s="189"/>
      <c r="DN138" s="189"/>
      <c r="DO138" s="189"/>
      <c r="DP138" s="189"/>
      <c r="DQ138" s="194"/>
      <c r="DR138" s="281"/>
      <c r="DS138" s="279"/>
      <c r="DT138" s="279"/>
      <c r="DU138" s="189"/>
      <c r="DV138" s="189"/>
      <c r="DW138" s="189"/>
      <c r="DX138" s="189"/>
      <c r="DY138" s="194"/>
      <c r="DZ138" s="281"/>
      <c r="EA138" s="279"/>
      <c r="EB138" s="279"/>
      <c r="EC138" s="189"/>
      <c r="ED138" s="189"/>
      <c r="EE138" s="189"/>
      <c r="EF138" s="189"/>
      <c r="EG138" s="194"/>
      <c r="EH138" s="281"/>
      <c r="EI138" s="279"/>
      <c r="EJ138" s="279"/>
      <c r="EK138" s="189"/>
      <c r="EL138" s="189"/>
      <c r="EM138" s="189"/>
      <c r="EN138" s="189"/>
      <c r="EO138" s="194"/>
      <c r="EP138" s="281"/>
      <c r="EQ138" s="279"/>
      <c r="ER138" s="279"/>
      <c r="ES138" s="189"/>
      <c r="ET138" s="189"/>
      <c r="EU138" s="189"/>
      <c r="EV138" s="189"/>
      <c r="EW138" s="194"/>
      <c r="EX138" s="281"/>
      <c r="EY138" s="279"/>
      <c r="EZ138" s="279"/>
      <c r="FA138" s="189"/>
      <c r="FB138" s="189"/>
      <c r="FC138" s="189"/>
      <c r="FD138" s="189"/>
      <c r="FE138" s="194"/>
      <c r="FF138" s="281"/>
      <c r="FG138" s="279"/>
      <c r="FH138" s="279"/>
      <c r="FI138" s="189"/>
      <c r="FJ138" s="189"/>
      <c r="FK138" s="189"/>
      <c r="FL138" s="189"/>
      <c r="FM138" s="194"/>
      <c r="FN138" s="281"/>
      <c r="FO138" s="279"/>
      <c r="FP138" s="279"/>
      <c r="FQ138" s="189"/>
      <c r="FR138" s="189"/>
      <c r="FS138" s="189"/>
      <c r="FT138" s="189"/>
      <c r="FU138" s="194"/>
      <c r="FV138" s="281"/>
      <c r="FW138" s="279"/>
      <c r="FX138" s="279"/>
      <c r="FY138" s="189"/>
      <c r="FZ138" s="189"/>
      <c r="GA138" s="189"/>
      <c r="GB138" s="189"/>
      <c r="GC138" s="194"/>
      <c r="GD138" s="281"/>
      <c r="GE138" s="279"/>
      <c r="GF138" s="279"/>
      <c r="GG138" s="189"/>
      <c r="GH138" s="189"/>
      <c r="GI138" s="189"/>
      <c r="GJ138" s="189"/>
      <c r="GK138" s="194"/>
      <c r="GL138" s="281"/>
      <c r="GM138" s="279"/>
      <c r="GN138" s="279"/>
      <c r="GO138" s="189"/>
      <c r="GP138" s="189"/>
      <c r="GQ138" s="189"/>
      <c r="GR138" s="189"/>
      <c r="GS138" s="194"/>
      <c r="GT138" s="281"/>
      <c r="GU138" s="279"/>
      <c r="GV138" s="279"/>
      <c r="GW138" s="189"/>
      <c r="GX138" s="189"/>
      <c r="GY138" s="189"/>
      <c r="GZ138" s="189"/>
      <c r="HA138" s="194"/>
      <c r="HB138" s="281"/>
      <c r="HC138" s="279"/>
      <c r="HD138" s="279"/>
      <c r="HE138" s="189"/>
      <c r="HF138" s="189"/>
      <c r="HG138" s="189"/>
      <c r="HH138" s="189"/>
      <c r="HI138" s="194"/>
      <c r="HJ138" s="281"/>
      <c r="HK138" s="279"/>
      <c r="HL138" s="279"/>
      <c r="HM138" s="189"/>
      <c r="HN138" s="189"/>
      <c r="HO138" s="189"/>
      <c r="HP138" s="189"/>
      <c r="HQ138" s="194"/>
      <c r="HR138" s="281"/>
      <c r="HS138" s="279"/>
      <c r="HT138" s="279"/>
      <c r="HU138" s="189"/>
      <c r="HV138" s="189"/>
      <c r="HW138" s="189"/>
      <c r="HX138" s="189"/>
      <c r="HY138" s="194"/>
      <c r="HZ138" s="281"/>
      <c r="IA138" s="279"/>
      <c r="IB138" s="279"/>
      <c r="IC138" s="189"/>
      <c r="ID138" s="189"/>
      <c r="IE138" s="189"/>
      <c r="IF138" s="189"/>
      <c r="IG138" s="194"/>
      <c r="IH138" s="281"/>
      <c r="II138" s="279"/>
      <c r="IJ138" s="279"/>
      <c r="IK138" s="189"/>
      <c r="IL138" s="189"/>
      <c r="IM138" s="189"/>
      <c r="IN138" s="189"/>
    </row>
    <row r="139" spans="1:248" s="188" customFormat="1" ht="15">
      <c r="A139" s="227"/>
      <c r="B139" s="93" t="s">
        <v>220</v>
      </c>
      <c r="C139" s="224"/>
      <c r="D139" s="210"/>
      <c r="E139" s="231"/>
      <c r="F139" s="231"/>
      <c r="G139" s="245"/>
      <c r="H139" s="254">
        <f>H133+H134</f>
        <v>3494663.98875295</v>
      </c>
      <c r="I139" s="280"/>
      <c r="K139" s="279"/>
      <c r="L139" s="336"/>
      <c r="M139" s="189"/>
      <c r="N139" s="189"/>
      <c r="O139" s="189"/>
      <c r="P139" s="189"/>
      <c r="Q139" s="194"/>
      <c r="S139" s="279"/>
      <c r="T139" s="279"/>
      <c r="U139" s="189"/>
      <c r="V139" s="189"/>
      <c r="W139" s="189"/>
      <c r="X139" s="189"/>
      <c r="Y139" s="194"/>
      <c r="AA139" s="279"/>
      <c r="AB139" s="279"/>
      <c r="AC139" s="189"/>
      <c r="AD139" s="189"/>
      <c r="AE139" s="189"/>
      <c r="AF139" s="189"/>
      <c r="AG139" s="194"/>
      <c r="AI139" s="279"/>
      <c r="AJ139" s="279"/>
      <c r="AK139" s="189"/>
      <c r="AL139" s="189"/>
      <c r="AM139" s="189"/>
      <c r="AN139" s="189"/>
      <c r="AO139" s="194"/>
      <c r="AQ139" s="279"/>
      <c r="AR139" s="279"/>
      <c r="AS139" s="189"/>
      <c r="AT139" s="189"/>
      <c r="AU139" s="189"/>
      <c r="AV139" s="189"/>
      <c r="AW139" s="194"/>
      <c r="AY139" s="279"/>
      <c r="AZ139" s="279"/>
      <c r="BA139" s="189"/>
      <c r="BB139" s="189"/>
      <c r="BC139" s="189"/>
      <c r="BD139" s="189"/>
      <c r="BE139" s="194"/>
      <c r="BG139" s="279"/>
      <c r="BH139" s="279"/>
      <c r="BI139" s="189"/>
      <c r="BJ139" s="189"/>
      <c r="BK139" s="189"/>
      <c r="BL139" s="189"/>
      <c r="BM139" s="194"/>
      <c r="BO139" s="279"/>
      <c r="BP139" s="279"/>
      <c r="BQ139" s="189"/>
      <c r="BR139" s="189"/>
      <c r="BS139" s="189"/>
      <c r="BT139" s="189"/>
      <c r="BU139" s="194"/>
      <c r="BW139" s="279"/>
      <c r="BX139" s="279"/>
      <c r="BY139" s="189"/>
      <c r="BZ139" s="189"/>
      <c r="CA139" s="189"/>
      <c r="CB139" s="189"/>
      <c r="CC139" s="194"/>
      <c r="CE139" s="279"/>
      <c r="CF139" s="279"/>
      <c r="CG139" s="189"/>
      <c r="CH139" s="189"/>
      <c r="CI139" s="189"/>
      <c r="CJ139" s="189"/>
      <c r="CK139" s="194"/>
      <c r="CM139" s="279"/>
      <c r="CN139" s="279"/>
      <c r="CO139" s="189"/>
      <c r="CP139" s="189"/>
      <c r="CQ139" s="189"/>
      <c r="CR139" s="189"/>
      <c r="CS139" s="194"/>
      <c r="CU139" s="279"/>
      <c r="CV139" s="279"/>
      <c r="CW139" s="189"/>
      <c r="CX139" s="189"/>
      <c r="CY139" s="189"/>
      <c r="CZ139" s="189"/>
      <c r="DA139" s="194"/>
      <c r="DC139" s="279"/>
      <c r="DD139" s="279"/>
      <c r="DE139" s="189"/>
      <c r="DF139" s="189"/>
      <c r="DG139" s="189"/>
      <c r="DH139" s="189"/>
      <c r="DI139" s="194"/>
      <c r="DK139" s="279"/>
      <c r="DL139" s="279"/>
      <c r="DM139" s="189"/>
      <c r="DN139" s="189"/>
      <c r="DO139" s="189"/>
      <c r="DP139" s="189"/>
      <c r="DQ139" s="194"/>
      <c r="DS139" s="279"/>
      <c r="DT139" s="279"/>
      <c r="DU139" s="189"/>
      <c r="DV139" s="189"/>
      <c r="DW139" s="189"/>
      <c r="DX139" s="189"/>
      <c r="DY139" s="194"/>
      <c r="EA139" s="279"/>
      <c r="EB139" s="279"/>
      <c r="EC139" s="189"/>
      <c r="ED139" s="189"/>
      <c r="EE139" s="189"/>
      <c r="EF139" s="189"/>
      <c r="EG139" s="194"/>
      <c r="EI139" s="279"/>
      <c r="EJ139" s="279"/>
      <c r="EK139" s="189"/>
      <c r="EL139" s="189"/>
      <c r="EM139" s="189"/>
      <c r="EN139" s="189"/>
      <c r="EO139" s="194"/>
      <c r="EQ139" s="279"/>
      <c r="ER139" s="279"/>
      <c r="ES139" s="189"/>
      <c r="ET139" s="189"/>
      <c r="EU139" s="189"/>
      <c r="EV139" s="189"/>
      <c r="EW139" s="194"/>
      <c r="EY139" s="279"/>
      <c r="EZ139" s="279"/>
      <c r="FA139" s="189"/>
      <c r="FB139" s="189"/>
      <c r="FC139" s="189"/>
      <c r="FD139" s="189"/>
      <c r="FE139" s="194"/>
      <c r="FG139" s="279"/>
      <c r="FH139" s="279"/>
      <c r="FI139" s="189"/>
      <c r="FJ139" s="189"/>
      <c r="FK139" s="189"/>
      <c r="FL139" s="189"/>
      <c r="FM139" s="194"/>
      <c r="FO139" s="279"/>
      <c r="FP139" s="279"/>
      <c r="FQ139" s="189"/>
      <c r="FR139" s="189"/>
      <c r="FS139" s="189"/>
      <c r="FT139" s="189"/>
      <c r="FU139" s="194"/>
      <c r="FW139" s="279"/>
      <c r="FX139" s="279"/>
      <c r="FY139" s="189"/>
      <c r="FZ139" s="189"/>
      <c r="GA139" s="189"/>
      <c r="GB139" s="189"/>
      <c r="GC139" s="194"/>
      <c r="GE139" s="279"/>
      <c r="GF139" s="279"/>
      <c r="GG139" s="189"/>
      <c r="GH139" s="189"/>
      <c r="GI139" s="189"/>
      <c r="GJ139" s="189"/>
      <c r="GK139" s="194"/>
      <c r="GM139" s="279"/>
      <c r="GN139" s="279"/>
      <c r="GO139" s="189"/>
      <c r="GP139" s="189"/>
      <c r="GQ139" s="189"/>
      <c r="GR139" s="189"/>
      <c r="GS139" s="194"/>
      <c r="GU139" s="279"/>
      <c r="GV139" s="279"/>
      <c r="GW139" s="189"/>
      <c r="GX139" s="189"/>
      <c r="GY139" s="189"/>
      <c r="GZ139" s="189"/>
      <c r="HA139" s="194"/>
      <c r="HC139" s="279"/>
      <c r="HD139" s="279"/>
      <c r="HE139" s="189"/>
      <c r="HF139" s="189"/>
      <c r="HG139" s="189"/>
      <c r="HH139" s="189"/>
      <c r="HI139" s="194"/>
      <c r="HK139" s="279"/>
      <c r="HL139" s="279"/>
      <c r="HM139" s="189"/>
      <c r="HN139" s="189"/>
      <c r="HO139" s="189"/>
      <c r="HP139" s="189"/>
      <c r="HQ139" s="194"/>
      <c r="HS139" s="279"/>
      <c r="HT139" s="279"/>
      <c r="HU139" s="189"/>
      <c r="HV139" s="189"/>
      <c r="HW139" s="189"/>
      <c r="HX139" s="189"/>
      <c r="HY139" s="194"/>
      <c r="IA139" s="279"/>
      <c r="IB139" s="279"/>
      <c r="IC139" s="189"/>
      <c r="ID139" s="189"/>
      <c r="IE139" s="189"/>
      <c r="IF139" s="189"/>
      <c r="IG139" s="194"/>
      <c r="II139" s="279"/>
      <c r="IJ139" s="279"/>
      <c r="IK139" s="189"/>
      <c r="IL139" s="189"/>
      <c r="IM139" s="189"/>
      <c r="IN139" s="189"/>
    </row>
    <row r="140" spans="1:12" ht="12.75">
      <c r="A140" s="399" t="s">
        <v>68</v>
      </c>
      <c r="B140" s="400"/>
      <c r="C140" s="400"/>
      <c r="D140" s="400"/>
      <c r="E140" s="400"/>
      <c r="F140" s="400"/>
      <c r="G140" s="400"/>
      <c r="H140" s="185"/>
      <c r="I140" s="51"/>
      <c r="L140" s="225"/>
    </row>
    <row r="141" spans="1:10" ht="12.75">
      <c r="A141" s="227">
        <v>1</v>
      </c>
      <c r="B141" s="277"/>
      <c r="C141" s="215" t="s">
        <v>238</v>
      </c>
      <c r="D141" s="215" t="s">
        <v>122</v>
      </c>
      <c r="E141" s="205" t="s">
        <v>122</v>
      </c>
      <c r="F141" s="205" t="s">
        <v>122</v>
      </c>
      <c r="G141" s="205" t="s">
        <v>122</v>
      </c>
      <c r="H141" s="278" t="s">
        <v>239</v>
      </c>
      <c r="I141" s="51"/>
      <c r="J141" s="334"/>
    </row>
    <row r="142" spans="1:9" ht="12.75">
      <c r="A142" s="227"/>
      <c r="B142" s="277"/>
      <c r="C142" s="215"/>
      <c r="D142" s="215"/>
      <c r="E142" s="215"/>
      <c r="F142" s="215"/>
      <c r="G142" s="215"/>
      <c r="H142" s="276"/>
      <c r="I142" s="51"/>
    </row>
    <row r="143" spans="1:9" ht="12.75">
      <c r="A143" s="421" t="s">
        <v>19</v>
      </c>
      <c r="B143" s="422"/>
      <c r="C143" s="422"/>
      <c r="D143" s="422"/>
      <c r="E143" s="422"/>
      <c r="F143" s="422"/>
      <c r="G143" s="422"/>
      <c r="H143" s="422"/>
      <c r="I143" s="51"/>
    </row>
    <row r="144" spans="1:9" ht="12.75">
      <c r="A144" s="421" t="s">
        <v>20</v>
      </c>
      <c r="B144" s="422"/>
      <c r="C144" s="422"/>
      <c r="D144" s="422"/>
      <c r="E144" s="422"/>
      <c r="F144" s="422"/>
      <c r="G144" s="422"/>
      <c r="H144" s="422"/>
      <c r="I144" s="51"/>
    </row>
    <row r="145" spans="1:9" ht="12.75">
      <c r="A145" s="212">
        <v>1</v>
      </c>
      <c r="B145" s="208" t="s">
        <v>297</v>
      </c>
      <c r="C145" s="51"/>
      <c r="D145" s="51"/>
      <c r="E145" s="215"/>
      <c r="F145" s="215"/>
      <c r="G145" s="215"/>
      <c r="H145" s="223"/>
      <c r="I145" s="51"/>
    </row>
    <row r="146" spans="1:9" ht="14.25">
      <c r="A146" s="51"/>
      <c r="B146" s="256" t="s">
        <v>82</v>
      </c>
      <c r="C146" s="212" t="s">
        <v>61</v>
      </c>
      <c r="D146" s="212">
        <v>118</v>
      </c>
      <c r="E146" s="269">
        <v>1</v>
      </c>
      <c r="F146" s="216">
        <v>1</v>
      </c>
      <c r="G146" s="215">
        <f aca="true" t="shared" si="5" ref="G146:G154">D146*E146*F146</f>
        <v>118</v>
      </c>
      <c r="H146" s="219">
        <f>599897/39878.339*G146</f>
        <v>1775.0951462647429</v>
      </c>
      <c r="I146" s="51"/>
    </row>
    <row r="147" spans="1:9" ht="14.25">
      <c r="A147" s="51"/>
      <c r="B147" s="256" t="s">
        <v>83</v>
      </c>
      <c r="C147" s="212" t="s">
        <v>80</v>
      </c>
      <c r="D147" s="212">
        <v>236</v>
      </c>
      <c r="E147" s="269">
        <v>3</v>
      </c>
      <c r="F147" s="216">
        <v>0.042</v>
      </c>
      <c r="G147" s="261">
        <f t="shared" si="5"/>
        <v>29.736</v>
      </c>
      <c r="H147" s="219">
        <f aca="true" t="shared" si="6" ref="H147:H187">599897/39878.339*G147</f>
        <v>447.32397685871524</v>
      </c>
      <c r="I147" s="51"/>
    </row>
    <row r="148" spans="1:9" ht="12.75">
      <c r="A148" s="51"/>
      <c r="B148" s="256" t="s">
        <v>291</v>
      </c>
      <c r="C148" s="212" t="s">
        <v>80</v>
      </c>
      <c r="D148" s="212">
        <v>50</v>
      </c>
      <c r="E148" s="216">
        <v>1</v>
      </c>
      <c r="F148" s="216">
        <v>1.111</v>
      </c>
      <c r="G148" s="261">
        <f t="shared" si="5"/>
        <v>55.55</v>
      </c>
      <c r="H148" s="219">
        <f t="shared" si="6"/>
        <v>835.6486048729362</v>
      </c>
      <c r="I148" s="51"/>
    </row>
    <row r="149" spans="1:9" ht="12.75">
      <c r="A149" s="51"/>
      <c r="B149" s="256" t="s">
        <v>292</v>
      </c>
      <c r="C149" s="212" t="s">
        <v>80</v>
      </c>
      <c r="D149" s="212">
        <v>50</v>
      </c>
      <c r="E149" s="216">
        <v>1</v>
      </c>
      <c r="F149" s="216">
        <v>3.333</v>
      </c>
      <c r="G149" s="261">
        <f t="shared" si="5"/>
        <v>166.65</v>
      </c>
      <c r="H149" s="219">
        <f t="shared" si="6"/>
        <v>2506.9458146188085</v>
      </c>
      <c r="I149" s="51"/>
    </row>
    <row r="150" spans="1:9" ht="12.75">
      <c r="A150" s="51"/>
      <c r="B150" s="256" t="s">
        <v>293</v>
      </c>
      <c r="C150" s="212" t="s">
        <v>80</v>
      </c>
      <c r="D150" s="212">
        <v>1000</v>
      </c>
      <c r="E150" s="216">
        <v>1</v>
      </c>
      <c r="F150" s="216">
        <v>0.04</v>
      </c>
      <c r="G150" s="221">
        <f t="shared" si="5"/>
        <v>40</v>
      </c>
      <c r="H150" s="219">
        <f t="shared" si="6"/>
        <v>601.7271682253365</v>
      </c>
      <c r="I150" s="51"/>
    </row>
    <row r="151" spans="1:9" ht="12.75">
      <c r="A151" s="51"/>
      <c r="B151" s="256" t="s">
        <v>294</v>
      </c>
      <c r="C151" s="212" t="s">
        <v>295</v>
      </c>
      <c r="D151" s="212">
        <v>1.5</v>
      </c>
      <c r="E151" s="216">
        <v>1</v>
      </c>
      <c r="F151" s="275">
        <v>14.286</v>
      </c>
      <c r="G151" s="261">
        <f t="shared" si="5"/>
        <v>21.429</v>
      </c>
      <c r="H151" s="219">
        <f t="shared" si="6"/>
        <v>322.3602871975184</v>
      </c>
      <c r="I151" s="51"/>
    </row>
    <row r="152" spans="1:9" ht="14.25">
      <c r="A152" s="51"/>
      <c r="B152" s="256" t="s">
        <v>113</v>
      </c>
      <c r="C152" s="212" t="s">
        <v>61</v>
      </c>
      <c r="D152" s="212">
        <v>4</v>
      </c>
      <c r="E152" s="269">
        <v>11</v>
      </c>
      <c r="F152" s="216">
        <v>1</v>
      </c>
      <c r="G152" s="261">
        <f t="shared" si="5"/>
        <v>44</v>
      </c>
      <c r="H152" s="219">
        <f t="shared" si="6"/>
        <v>661.8998850478703</v>
      </c>
      <c r="I152" s="51"/>
    </row>
    <row r="153" spans="1:9" ht="14.25">
      <c r="A153" s="51"/>
      <c r="B153" s="256" t="s">
        <v>608</v>
      </c>
      <c r="C153" s="212" t="s">
        <v>61</v>
      </c>
      <c r="D153" s="212">
        <f>3*8*10</f>
        <v>240</v>
      </c>
      <c r="E153" s="269">
        <v>4</v>
      </c>
      <c r="F153" s="216">
        <v>1</v>
      </c>
      <c r="G153" s="261">
        <f t="shared" si="5"/>
        <v>960</v>
      </c>
      <c r="H153" s="219">
        <f t="shared" si="6"/>
        <v>14441.452037408078</v>
      </c>
      <c r="I153" s="51"/>
    </row>
    <row r="154" spans="1:9" ht="14.25">
      <c r="A154" s="51"/>
      <c r="B154" s="256" t="s">
        <v>110</v>
      </c>
      <c r="C154" s="212" t="s">
        <v>61</v>
      </c>
      <c r="D154" s="212">
        <v>16</v>
      </c>
      <c r="E154" s="269">
        <f>4*3</f>
        <v>12</v>
      </c>
      <c r="F154" s="216">
        <v>1</v>
      </c>
      <c r="G154" s="215">
        <f t="shared" si="5"/>
        <v>192</v>
      </c>
      <c r="H154" s="219">
        <f t="shared" si="6"/>
        <v>2888.2904074816156</v>
      </c>
      <c r="I154" s="51"/>
    </row>
    <row r="155" spans="1:9" ht="12.75">
      <c r="A155" s="51">
        <v>2</v>
      </c>
      <c r="B155" s="208" t="s">
        <v>298</v>
      </c>
      <c r="C155" s="51"/>
      <c r="D155" s="51"/>
      <c r="E155" s="215"/>
      <c r="F155" s="216"/>
      <c r="G155" s="215"/>
      <c r="H155" s="219">
        <f t="shared" si="6"/>
        <v>0</v>
      </c>
      <c r="I155" s="51"/>
    </row>
    <row r="156" spans="1:9" ht="12.75">
      <c r="A156" s="256"/>
      <c r="B156" s="208" t="s">
        <v>299</v>
      </c>
      <c r="C156" s="51"/>
      <c r="D156" s="51"/>
      <c r="E156" s="215"/>
      <c r="F156" s="215"/>
      <c r="G156" s="215"/>
      <c r="H156" s="219">
        <f t="shared" si="6"/>
        <v>0</v>
      </c>
      <c r="I156" s="51"/>
    </row>
    <row r="157" spans="1:9" ht="14.25">
      <c r="A157" s="274"/>
      <c r="B157" s="256" t="s">
        <v>70</v>
      </c>
      <c r="C157" s="212" t="s">
        <v>71</v>
      </c>
      <c r="D157" s="212">
        <v>4000</v>
      </c>
      <c r="E157" s="269">
        <v>4</v>
      </c>
      <c r="F157" s="216">
        <v>0.056</v>
      </c>
      <c r="G157" s="215">
        <f aca="true" t="shared" si="7" ref="G157:G165">D157*E157*F157</f>
        <v>896</v>
      </c>
      <c r="H157" s="219">
        <f t="shared" si="6"/>
        <v>13478.68856824754</v>
      </c>
      <c r="I157" s="51"/>
    </row>
    <row r="158" spans="1:9" ht="14.25">
      <c r="A158" s="274"/>
      <c r="B158" s="51" t="s">
        <v>72</v>
      </c>
      <c r="C158" s="212" t="s">
        <v>73</v>
      </c>
      <c r="D158" s="212">
        <v>4000</v>
      </c>
      <c r="E158" s="269">
        <v>3</v>
      </c>
      <c r="F158" s="216">
        <v>0.12</v>
      </c>
      <c r="G158" s="215">
        <f t="shared" si="7"/>
        <v>1440</v>
      </c>
      <c r="H158" s="219">
        <f t="shared" si="6"/>
        <v>21662.178056112116</v>
      </c>
      <c r="I158" s="51"/>
    </row>
    <row r="159" spans="1:9" ht="14.25">
      <c r="A159" s="273"/>
      <c r="B159" s="268" t="s">
        <v>74</v>
      </c>
      <c r="C159" s="212" t="s">
        <v>73</v>
      </c>
      <c r="D159" s="212">
        <v>1000</v>
      </c>
      <c r="E159" s="269">
        <v>2</v>
      </c>
      <c r="F159" s="216">
        <v>0.062</v>
      </c>
      <c r="G159" s="215">
        <f t="shared" si="7"/>
        <v>124</v>
      </c>
      <c r="H159" s="219">
        <f t="shared" si="6"/>
        <v>1865.3542214985434</v>
      </c>
      <c r="I159" s="51"/>
    </row>
    <row r="160" spans="1:9" ht="14.25">
      <c r="A160" s="274"/>
      <c r="B160" s="51" t="s">
        <v>75</v>
      </c>
      <c r="C160" s="212" t="s">
        <v>71</v>
      </c>
      <c r="D160" s="212">
        <v>1000</v>
      </c>
      <c r="E160" s="269">
        <v>3</v>
      </c>
      <c r="F160" s="216">
        <v>0.04</v>
      </c>
      <c r="G160" s="215">
        <f t="shared" si="7"/>
        <v>120</v>
      </c>
      <c r="H160" s="219">
        <f t="shared" si="6"/>
        <v>1805.1815046760098</v>
      </c>
      <c r="I160" s="51"/>
    </row>
    <row r="161" spans="1:9" ht="14.25">
      <c r="A161" s="274"/>
      <c r="B161" s="51" t="s">
        <v>76</v>
      </c>
      <c r="C161" s="212" t="s">
        <v>71</v>
      </c>
      <c r="D161" s="212">
        <v>4000</v>
      </c>
      <c r="E161" s="269">
        <v>1</v>
      </c>
      <c r="F161" s="216">
        <v>0.03</v>
      </c>
      <c r="G161" s="215">
        <f t="shared" si="7"/>
        <v>120</v>
      </c>
      <c r="H161" s="219">
        <f t="shared" si="6"/>
        <v>1805.1815046760098</v>
      </c>
      <c r="I161" s="51"/>
    </row>
    <row r="162" spans="1:9" ht="14.25">
      <c r="A162" s="274"/>
      <c r="B162" s="51" t="s">
        <v>77</v>
      </c>
      <c r="C162" s="212" t="s">
        <v>71</v>
      </c>
      <c r="D162" s="212">
        <v>4000</v>
      </c>
      <c r="E162" s="269">
        <v>1</v>
      </c>
      <c r="F162" s="216">
        <v>0.036</v>
      </c>
      <c r="G162" s="215">
        <f t="shared" si="7"/>
        <v>144</v>
      </c>
      <c r="H162" s="219">
        <f t="shared" si="6"/>
        <v>2166.2178056112116</v>
      </c>
      <c r="I162" s="51"/>
    </row>
    <row r="163" spans="1:9" ht="14.25">
      <c r="A163" s="274"/>
      <c r="B163" s="51" t="s">
        <v>78</v>
      </c>
      <c r="C163" s="212" t="s">
        <v>71</v>
      </c>
      <c r="D163" s="212">
        <v>50</v>
      </c>
      <c r="E163" s="269">
        <v>2</v>
      </c>
      <c r="F163" s="216">
        <v>0.019</v>
      </c>
      <c r="G163" s="215">
        <f t="shared" si="7"/>
        <v>1.9</v>
      </c>
      <c r="H163" s="219">
        <f t="shared" si="6"/>
        <v>28.582040490703488</v>
      </c>
      <c r="I163" s="51"/>
    </row>
    <row r="164" spans="1:9" ht="14.25">
      <c r="A164" s="274"/>
      <c r="B164" s="51" t="s">
        <v>79</v>
      </c>
      <c r="C164" s="212" t="s">
        <v>71</v>
      </c>
      <c r="D164" s="212">
        <v>4000</v>
      </c>
      <c r="E164" s="269">
        <v>1</v>
      </c>
      <c r="F164" s="216">
        <v>0.056</v>
      </c>
      <c r="G164" s="215">
        <f t="shared" si="7"/>
        <v>224</v>
      </c>
      <c r="H164" s="219">
        <f t="shared" si="6"/>
        <v>3369.672142061885</v>
      </c>
      <c r="I164" s="51"/>
    </row>
    <row r="165" spans="1:9" ht="14.25">
      <c r="A165" s="256"/>
      <c r="B165" s="51" t="s">
        <v>81</v>
      </c>
      <c r="C165" s="212" t="s">
        <v>80</v>
      </c>
      <c r="D165" s="212">
        <v>5</v>
      </c>
      <c r="E165" s="269">
        <v>1</v>
      </c>
      <c r="F165" s="216">
        <v>19.2</v>
      </c>
      <c r="G165" s="215">
        <f t="shared" si="7"/>
        <v>96</v>
      </c>
      <c r="H165" s="219">
        <f t="shared" si="6"/>
        <v>1444.1452037408078</v>
      </c>
      <c r="I165" s="51"/>
    </row>
    <row r="166" spans="1:9" ht="12.75">
      <c r="A166" s="256">
        <v>3</v>
      </c>
      <c r="B166" s="47" t="s">
        <v>118</v>
      </c>
      <c r="C166" s="212"/>
      <c r="D166" s="212"/>
      <c r="E166" s="215"/>
      <c r="F166" s="215"/>
      <c r="G166" s="215"/>
      <c r="H166" s="219">
        <f t="shared" si="6"/>
        <v>0</v>
      </c>
      <c r="I166" s="51"/>
    </row>
    <row r="167" spans="1:9" ht="14.25">
      <c r="A167" s="274"/>
      <c r="B167" s="51" t="s">
        <v>86</v>
      </c>
      <c r="C167" s="212" t="s">
        <v>73</v>
      </c>
      <c r="D167" s="212">
        <v>2000</v>
      </c>
      <c r="E167" s="269">
        <v>3</v>
      </c>
      <c r="F167" s="216">
        <v>0.099</v>
      </c>
      <c r="G167" s="215">
        <f aca="true" t="shared" si="8" ref="G167:G172">D167*E167*F167</f>
        <v>594</v>
      </c>
      <c r="H167" s="219">
        <f t="shared" si="6"/>
        <v>8935.648448146248</v>
      </c>
      <c r="I167" s="51"/>
    </row>
    <row r="168" spans="1:9" ht="14.25">
      <c r="A168" s="256"/>
      <c r="B168" s="51" t="s">
        <v>87</v>
      </c>
      <c r="C168" s="212" t="s">
        <v>73</v>
      </c>
      <c r="D168" s="212">
        <v>4000</v>
      </c>
      <c r="E168" s="269">
        <v>1</v>
      </c>
      <c r="F168" s="216">
        <v>0.048</v>
      </c>
      <c r="G168" s="215">
        <f t="shared" si="8"/>
        <v>192</v>
      </c>
      <c r="H168" s="219">
        <f t="shared" si="6"/>
        <v>2888.2904074816156</v>
      </c>
      <c r="I168" s="51"/>
    </row>
    <row r="169" spans="1:9" ht="14.25">
      <c r="A169" s="273"/>
      <c r="B169" s="268" t="s">
        <v>88</v>
      </c>
      <c r="C169" s="212" t="s">
        <v>80</v>
      </c>
      <c r="D169" s="212">
        <v>67100</v>
      </c>
      <c r="E169" s="269">
        <v>3</v>
      </c>
      <c r="F169" s="216">
        <v>0.056</v>
      </c>
      <c r="G169" s="261">
        <f t="shared" si="8"/>
        <v>11272.800000000001</v>
      </c>
      <c r="H169" s="219">
        <f t="shared" si="6"/>
        <v>169578.75054926437</v>
      </c>
      <c r="I169" s="51"/>
    </row>
    <row r="170" spans="1:9" ht="14.25">
      <c r="A170" s="256"/>
      <c r="B170" s="51" t="s">
        <v>89</v>
      </c>
      <c r="C170" s="212" t="s">
        <v>80</v>
      </c>
      <c r="D170" s="212">
        <v>80000</v>
      </c>
      <c r="E170" s="269">
        <v>1</v>
      </c>
      <c r="F170" s="216">
        <v>0.026</v>
      </c>
      <c r="G170" s="261">
        <f t="shared" si="8"/>
        <v>2080</v>
      </c>
      <c r="H170" s="219">
        <f t="shared" si="6"/>
        <v>31289.812747717504</v>
      </c>
      <c r="I170" s="51"/>
    </row>
    <row r="171" spans="1:9" ht="14.25">
      <c r="A171" s="256"/>
      <c r="B171" s="51" t="s">
        <v>90</v>
      </c>
      <c r="C171" s="212" t="s">
        <v>80</v>
      </c>
      <c r="D171" s="212">
        <v>50000</v>
      </c>
      <c r="E171" s="269">
        <v>1</v>
      </c>
      <c r="F171" s="216">
        <v>0.013</v>
      </c>
      <c r="G171" s="261">
        <f t="shared" si="8"/>
        <v>650</v>
      </c>
      <c r="H171" s="219">
        <f t="shared" si="6"/>
        <v>9778.06648366172</v>
      </c>
      <c r="I171" s="51"/>
    </row>
    <row r="172" spans="1:9" ht="14.25">
      <c r="A172" s="256"/>
      <c r="B172" s="51" t="s">
        <v>91</v>
      </c>
      <c r="C172" s="212" t="s">
        <v>66</v>
      </c>
      <c r="D172" s="212">
        <v>22834</v>
      </c>
      <c r="E172" s="269">
        <v>3</v>
      </c>
      <c r="F172" s="216">
        <v>0.156</v>
      </c>
      <c r="G172" s="261">
        <f t="shared" si="8"/>
        <v>10686.312</v>
      </c>
      <c r="H172" s="219">
        <f t="shared" si="6"/>
        <v>160756.10646331083</v>
      </c>
      <c r="I172" s="51"/>
    </row>
    <row r="173" spans="1:9" ht="12.75">
      <c r="A173" s="256">
        <v>4</v>
      </c>
      <c r="B173" s="47" t="s">
        <v>97</v>
      </c>
      <c r="C173" s="212"/>
      <c r="D173" s="212"/>
      <c r="E173" s="215"/>
      <c r="F173" s="215"/>
      <c r="G173" s="215"/>
      <c r="H173" s="219">
        <f t="shared" si="6"/>
        <v>0</v>
      </c>
      <c r="I173" s="51"/>
    </row>
    <row r="174" spans="1:9" ht="14.25">
      <c r="A174" s="256"/>
      <c r="B174" s="51" t="s">
        <v>98</v>
      </c>
      <c r="C174" s="212" t="s">
        <v>73</v>
      </c>
      <c r="D174" s="212">
        <v>5762</v>
      </c>
      <c r="E174" s="269">
        <v>2</v>
      </c>
      <c r="F174" s="216">
        <v>0.137</v>
      </c>
      <c r="G174" s="261">
        <f aca="true" t="shared" si="9" ref="G174:G184">D174*E174*F174</f>
        <v>1578.788</v>
      </c>
      <c r="H174" s="219">
        <f t="shared" si="6"/>
        <v>23749.990811703567</v>
      </c>
      <c r="I174" s="51"/>
    </row>
    <row r="175" spans="1:9" ht="14.25">
      <c r="A175" s="256"/>
      <c r="B175" s="51" t="s">
        <v>99</v>
      </c>
      <c r="C175" s="212" t="s">
        <v>53</v>
      </c>
      <c r="D175" s="212">
        <v>70</v>
      </c>
      <c r="E175" s="269">
        <v>1</v>
      </c>
      <c r="F175" s="216">
        <v>3.448</v>
      </c>
      <c r="G175" s="261">
        <f t="shared" si="9"/>
        <v>241.35999999999999</v>
      </c>
      <c r="H175" s="219">
        <f t="shared" si="6"/>
        <v>3630.8217330716807</v>
      </c>
      <c r="I175" s="51"/>
    </row>
    <row r="176" spans="1:9" ht="25.5">
      <c r="A176" s="273"/>
      <c r="B176" s="268" t="s">
        <v>100</v>
      </c>
      <c r="C176" s="212" t="s">
        <v>53</v>
      </c>
      <c r="D176" s="212">
        <v>80</v>
      </c>
      <c r="E176" s="269">
        <v>3</v>
      </c>
      <c r="F176" s="216">
        <v>6.667</v>
      </c>
      <c r="G176" s="261">
        <f t="shared" si="9"/>
        <v>1600.08</v>
      </c>
      <c r="H176" s="219">
        <f t="shared" si="6"/>
        <v>24070.290183349913</v>
      </c>
      <c r="I176" s="51"/>
    </row>
    <row r="177" spans="1:9" ht="14.25">
      <c r="A177" s="256"/>
      <c r="B177" s="51" t="s">
        <v>101</v>
      </c>
      <c r="C177" s="212" t="s">
        <v>53</v>
      </c>
      <c r="D177" s="212">
        <v>99.11</v>
      </c>
      <c r="E177" s="269">
        <v>4</v>
      </c>
      <c r="F177" s="216">
        <v>0.273</v>
      </c>
      <c r="G177" s="261">
        <f t="shared" si="9"/>
        <v>108.22812</v>
      </c>
      <c r="H177" s="219">
        <f t="shared" si="6"/>
        <v>1628.095004248798</v>
      </c>
      <c r="I177" s="51"/>
    </row>
    <row r="178" spans="1:9" ht="14.25">
      <c r="A178" s="256"/>
      <c r="B178" s="51" t="s">
        <v>102</v>
      </c>
      <c r="C178" s="212" t="s">
        <v>66</v>
      </c>
      <c r="D178" s="212">
        <v>35000</v>
      </c>
      <c r="E178" s="269">
        <v>1</v>
      </c>
      <c r="F178" s="216">
        <v>0.02</v>
      </c>
      <c r="G178" s="261">
        <f t="shared" si="9"/>
        <v>700</v>
      </c>
      <c r="H178" s="219">
        <f t="shared" si="6"/>
        <v>10530.225443943391</v>
      </c>
      <c r="I178" s="51"/>
    </row>
    <row r="179" spans="1:9" ht="25.5">
      <c r="A179" s="273"/>
      <c r="B179" s="268" t="s">
        <v>103</v>
      </c>
      <c r="C179" s="212" t="s">
        <v>73</v>
      </c>
      <c r="D179" s="212">
        <v>1000</v>
      </c>
      <c r="E179" s="269">
        <v>1</v>
      </c>
      <c r="F179" s="216">
        <v>0.126</v>
      </c>
      <c r="G179" s="261">
        <f t="shared" si="9"/>
        <v>126</v>
      </c>
      <c r="H179" s="219">
        <f t="shared" si="6"/>
        <v>1895.4405799098101</v>
      </c>
      <c r="I179" s="51"/>
    </row>
    <row r="180" spans="1:9" ht="14.25">
      <c r="A180" s="273"/>
      <c r="B180" s="268" t="s">
        <v>104</v>
      </c>
      <c r="C180" s="212" t="s">
        <v>105</v>
      </c>
      <c r="D180" s="212">
        <v>100</v>
      </c>
      <c r="E180" s="269">
        <v>1</v>
      </c>
      <c r="F180" s="216">
        <v>7.111</v>
      </c>
      <c r="G180" s="261">
        <f t="shared" si="9"/>
        <v>711.1</v>
      </c>
      <c r="H180" s="219">
        <f t="shared" si="6"/>
        <v>10697.204733125922</v>
      </c>
      <c r="I180" s="51"/>
    </row>
    <row r="181" spans="1:9" ht="14.25">
      <c r="A181" s="256"/>
      <c r="B181" s="268" t="s">
        <v>106</v>
      </c>
      <c r="C181" s="212" t="s">
        <v>105</v>
      </c>
      <c r="D181" s="212">
        <v>15</v>
      </c>
      <c r="E181" s="269">
        <v>1</v>
      </c>
      <c r="F181" s="216">
        <v>7.822</v>
      </c>
      <c r="G181" s="261">
        <f t="shared" si="9"/>
        <v>117.33</v>
      </c>
      <c r="H181" s="219">
        <f t="shared" si="6"/>
        <v>1765.0162161969686</v>
      </c>
      <c r="I181" s="51"/>
    </row>
    <row r="182" spans="1:9" ht="14.25">
      <c r="A182" s="256"/>
      <c r="B182" s="51" t="s">
        <v>107</v>
      </c>
      <c r="C182" s="212" t="s">
        <v>80</v>
      </c>
      <c r="D182" s="212">
        <v>1000</v>
      </c>
      <c r="E182" s="269">
        <v>1</v>
      </c>
      <c r="F182" s="216">
        <v>0.067</v>
      </c>
      <c r="G182" s="261">
        <f t="shared" si="9"/>
        <v>67</v>
      </c>
      <c r="H182" s="219">
        <f t="shared" si="6"/>
        <v>1007.8930067774388</v>
      </c>
      <c r="I182" s="51"/>
    </row>
    <row r="183" spans="1:9" ht="14.25">
      <c r="A183" s="256"/>
      <c r="B183" s="51" t="s">
        <v>108</v>
      </c>
      <c r="C183" s="212" t="s">
        <v>84</v>
      </c>
      <c r="D183" s="212">
        <v>144</v>
      </c>
      <c r="E183" s="269">
        <v>1</v>
      </c>
      <c r="F183" s="216">
        <v>1.111</v>
      </c>
      <c r="G183" s="261">
        <f t="shared" si="9"/>
        <v>159.984</v>
      </c>
      <c r="H183" s="219">
        <f t="shared" si="6"/>
        <v>2406.6679820340564</v>
      </c>
      <c r="I183" s="51"/>
    </row>
    <row r="184" spans="1:9" ht="14.25">
      <c r="A184" s="256"/>
      <c r="B184" s="51" t="s">
        <v>109</v>
      </c>
      <c r="C184" s="212" t="s">
        <v>73</v>
      </c>
      <c r="D184" s="212">
        <v>2738</v>
      </c>
      <c r="E184" s="269">
        <v>1</v>
      </c>
      <c r="F184" s="216">
        <v>0.034</v>
      </c>
      <c r="G184" s="261">
        <f t="shared" si="9"/>
        <v>93.09200000000001</v>
      </c>
      <c r="H184" s="219">
        <f t="shared" si="6"/>
        <v>1400.399638610826</v>
      </c>
      <c r="I184" s="51"/>
    </row>
    <row r="185" spans="1:9" ht="12.75">
      <c r="A185" s="256">
        <v>5</v>
      </c>
      <c r="B185" s="47" t="s">
        <v>111</v>
      </c>
      <c r="C185" s="212"/>
      <c r="D185" s="212"/>
      <c r="E185" s="215"/>
      <c r="F185" s="215"/>
      <c r="G185" s="215"/>
      <c r="H185" s="219">
        <f t="shared" si="6"/>
        <v>0</v>
      </c>
      <c r="I185" s="51"/>
    </row>
    <row r="186" spans="1:9" ht="14.25">
      <c r="A186" s="212"/>
      <c r="B186" s="51" t="s">
        <v>112</v>
      </c>
      <c r="C186" s="212" t="s">
        <v>53</v>
      </c>
      <c r="D186" s="220">
        <v>700</v>
      </c>
      <c r="E186" s="269">
        <v>5</v>
      </c>
      <c r="F186" s="216">
        <v>0.65</v>
      </c>
      <c r="G186" s="215">
        <f>D186*E186*F186</f>
        <v>2275</v>
      </c>
      <c r="H186" s="219">
        <f t="shared" si="6"/>
        <v>34223.23269281602</v>
      </c>
      <c r="I186" s="51"/>
    </row>
    <row r="187" spans="1:9" ht="14.25">
      <c r="A187" s="212"/>
      <c r="B187" s="51" t="s">
        <v>116</v>
      </c>
      <c r="C187" s="212" t="s">
        <v>61</v>
      </c>
      <c r="D187" s="212">
        <f>30*4</f>
        <v>120</v>
      </c>
      <c r="E187" s="269">
        <v>6</v>
      </c>
      <c r="F187" s="216">
        <v>1</v>
      </c>
      <c r="G187" s="215">
        <f>D187*E187*F187</f>
        <v>720</v>
      </c>
      <c r="H187" s="219">
        <f t="shared" si="6"/>
        <v>10831.089028056058</v>
      </c>
      <c r="I187" s="51"/>
    </row>
    <row r="188" spans="1:9" ht="14.25">
      <c r="A188" s="212"/>
      <c r="B188" s="93" t="s">
        <v>413</v>
      </c>
      <c r="C188" s="224"/>
      <c r="D188" s="224"/>
      <c r="E188" s="269"/>
      <c r="F188" s="216"/>
      <c r="G188" s="245">
        <f>SUM(G146:G187)</f>
        <v>38766.33912</v>
      </c>
      <c r="H188" s="218">
        <f>SUM(H146:H187)</f>
        <v>583168.986528517</v>
      </c>
      <c r="I188" s="51"/>
    </row>
    <row r="189" spans="1:9" ht="14.25">
      <c r="A189" s="212">
        <v>6</v>
      </c>
      <c r="B189" s="93" t="s">
        <v>505</v>
      </c>
      <c r="C189" s="212"/>
      <c r="D189" s="212"/>
      <c r="E189" s="269"/>
      <c r="F189" s="216"/>
      <c r="G189" s="205" t="s">
        <v>476</v>
      </c>
      <c r="H189" s="219"/>
      <c r="I189" s="51"/>
    </row>
    <row r="190" spans="1:9" ht="18" customHeight="1">
      <c r="A190" s="212"/>
      <c r="B190" s="51" t="s">
        <v>574</v>
      </c>
      <c r="C190" s="215" t="s">
        <v>476</v>
      </c>
      <c r="D190" s="212">
        <v>290</v>
      </c>
      <c r="E190" s="269">
        <v>1</v>
      </c>
      <c r="F190" s="216">
        <v>1</v>
      </c>
      <c r="G190" s="212">
        <v>290</v>
      </c>
      <c r="H190" s="219">
        <f aca="true" t="shared" si="10" ref="H190:H197">599897/39878.339*G190</f>
        <v>4362.52196963369</v>
      </c>
      <c r="I190" s="51"/>
    </row>
    <row r="191" spans="1:9" ht="25.5">
      <c r="A191" s="212"/>
      <c r="B191" s="268" t="s">
        <v>546</v>
      </c>
      <c r="C191" s="215" t="s">
        <v>476</v>
      </c>
      <c r="D191" s="212">
        <v>400</v>
      </c>
      <c r="E191" s="269">
        <v>1</v>
      </c>
      <c r="F191" s="216">
        <v>1</v>
      </c>
      <c r="G191" s="212">
        <v>400</v>
      </c>
      <c r="H191" s="219">
        <f t="shared" si="10"/>
        <v>6017.271682253366</v>
      </c>
      <c r="I191" s="51"/>
    </row>
    <row r="192" spans="1:9" ht="14.25">
      <c r="A192" s="212"/>
      <c r="B192" s="51" t="s">
        <v>444</v>
      </c>
      <c r="C192" s="215" t="s">
        <v>476</v>
      </c>
      <c r="D192" s="212">
        <v>180</v>
      </c>
      <c r="E192" s="269">
        <v>1</v>
      </c>
      <c r="F192" s="216">
        <v>1</v>
      </c>
      <c r="G192" s="212">
        <v>180</v>
      </c>
      <c r="H192" s="219">
        <f t="shared" si="10"/>
        <v>2707.7722570140145</v>
      </c>
      <c r="I192" s="51"/>
    </row>
    <row r="193" spans="1:9" ht="14.25">
      <c r="A193" s="212"/>
      <c r="B193" s="51" t="s">
        <v>521</v>
      </c>
      <c r="C193" s="215" t="s">
        <v>476</v>
      </c>
      <c r="D193" s="212">
        <v>30</v>
      </c>
      <c r="E193" s="269">
        <v>1</v>
      </c>
      <c r="F193" s="216">
        <v>1</v>
      </c>
      <c r="G193" s="212">
        <v>30</v>
      </c>
      <c r="H193" s="219">
        <f t="shared" si="10"/>
        <v>451.29537616900245</v>
      </c>
      <c r="I193" s="51"/>
    </row>
    <row r="194" spans="1:9" ht="14.25">
      <c r="A194" s="212"/>
      <c r="B194" s="51" t="s">
        <v>445</v>
      </c>
      <c r="C194" s="215" t="s">
        <v>476</v>
      </c>
      <c r="D194" s="212">
        <v>40</v>
      </c>
      <c r="E194" s="269">
        <v>1</v>
      </c>
      <c r="F194" s="216">
        <v>1</v>
      </c>
      <c r="G194" s="212">
        <v>40</v>
      </c>
      <c r="H194" s="219">
        <f t="shared" si="10"/>
        <v>601.7271682253365</v>
      </c>
      <c r="I194" s="51"/>
    </row>
    <row r="195" spans="1:9" ht="14.25">
      <c r="A195" s="212"/>
      <c r="B195" s="51" t="s">
        <v>575</v>
      </c>
      <c r="C195" s="215" t="s">
        <v>476</v>
      </c>
      <c r="D195" s="212">
        <v>24</v>
      </c>
      <c r="E195" s="269">
        <v>1</v>
      </c>
      <c r="F195" s="216">
        <v>1</v>
      </c>
      <c r="G195" s="212">
        <v>24</v>
      </c>
      <c r="H195" s="219">
        <f t="shared" si="10"/>
        <v>361.03630093520195</v>
      </c>
      <c r="I195" s="51"/>
    </row>
    <row r="196" spans="1:9" ht="14.25">
      <c r="A196" s="212"/>
      <c r="B196" s="51" t="s">
        <v>446</v>
      </c>
      <c r="C196" s="215" t="s">
        <v>476</v>
      </c>
      <c r="D196" s="212">
        <v>108</v>
      </c>
      <c r="E196" s="269">
        <v>1</v>
      </c>
      <c r="F196" s="216">
        <v>1</v>
      </c>
      <c r="G196" s="212">
        <v>108</v>
      </c>
      <c r="H196" s="219">
        <f t="shared" si="10"/>
        <v>1624.6633542084087</v>
      </c>
      <c r="I196" s="51"/>
    </row>
    <row r="197" spans="1:9" ht="14.25">
      <c r="A197" s="212"/>
      <c r="B197" s="51" t="s">
        <v>489</v>
      </c>
      <c r="C197" s="215" t="s">
        <v>476</v>
      </c>
      <c r="D197" s="212">
        <v>40</v>
      </c>
      <c r="E197" s="269">
        <v>1</v>
      </c>
      <c r="F197" s="216">
        <v>1</v>
      </c>
      <c r="G197" s="212">
        <v>40</v>
      </c>
      <c r="H197" s="219">
        <f t="shared" si="10"/>
        <v>601.7271682253365</v>
      </c>
      <c r="I197" s="51"/>
    </row>
    <row r="198" spans="1:9" ht="14.25">
      <c r="A198" s="212"/>
      <c r="B198" s="47" t="s">
        <v>413</v>
      </c>
      <c r="C198" s="215"/>
      <c r="D198" s="212"/>
      <c r="E198" s="269"/>
      <c r="F198" s="216"/>
      <c r="G198" s="208">
        <f>SUM(G190:G197)</f>
        <v>1112</v>
      </c>
      <c r="H198" s="218">
        <f>SUM(H190:H197)</f>
        <v>16728.015276664355</v>
      </c>
      <c r="I198" s="51"/>
    </row>
    <row r="199" spans="1:9" ht="20.25" customHeight="1">
      <c r="A199" s="212"/>
      <c r="B199" s="86" t="s">
        <v>661</v>
      </c>
      <c r="C199" s="258"/>
      <c r="D199" s="329"/>
      <c r="E199" s="269"/>
      <c r="F199" s="339"/>
      <c r="G199" s="340">
        <f>G188+G198</f>
        <v>39878.33912</v>
      </c>
      <c r="H199" s="213">
        <f>H188+H198</f>
        <v>599897.0018051814</v>
      </c>
      <c r="I199" s="51"/>
    </row>
    <row r="200" spans="1:9" ht="14.25">
      <c r="A200" s="212"/>
      <c r="B200" s="93" t="s">
        <v>120</v>
      </c>
      <c r="C200" s="224"/>
      <c r="D200" s="224"/>
      <c r="E200" s="269"/>
      <c r="F200" s="216"/>
      <c r="G200" s="245"/>
      <c r="H200" s="218"/>
      <c r="I200" s="51"/>
    </row>
    <row r="201" spans="1:9" ht="14.25">
      <c r="A201" s="51"/>
      <c r="B201" s="256" t="s">
        <v>421</v>
      </c>
      <c r="C201" s="212" t="s">
        <v>61</v>
      </c>
      <c r="D201" s="212">
        <v>14116</v>
      </c>
      <c r="E201" s="269">
        <v>1</v>
      </c>
      <c r="F201" s="216">
        <v>1</v>
      </c>
      <c r="G201" s="261">
        <f aca="true" t="shared" si="11" ref="G201:G208">D201*E201*F201</f>
        <v>14116</v>
      </c>
      <c r="H201" s="219">
        <v>262678</v>
      </c>
      <c r="I201" s="51" t="s">
        <v>644</v>
      </c>
    </row>
    <row r="202" spans="1:9" ht="14.25">
      <c r="A202" s="256"/>
      <c r="B202" s="51" t="s">
        <v>249</v>
      </c>
      <c r="C202" s="212" t="s">
        <v>61</v>
      </c>
      <c r="D202" s="212">
        <v>2222</v>
      </c>
      <c r="E202" s="269">
        <v>1</v>
      </c>
      <c r="F202" s="216">
        <v>1</v>
      </c>
      <c r="G202" s="215">
        <f t="shared" si="11"/>
        <v>2222</v>
      </c>
      <c r="H202" s="219">
        <v>58486</v>
      </c>
      <c r="I202" s="51" t="s">
        <v>622</v>
      </c>
    </row>
    <row r="203" spans="1:9" ht="14.25">
      <c r="A203" s="256"/>
      <c r="B203" s="51" t="s">
        <v>243</v>
      </c>
      <c r="C203" s="212" t="s">
        <v>61</v>
      </c>
      <c r="D203" s="212">
        <v>507</v>
      </c>
      <c r="E203" s="269">
        <v>1</v>
      </c>
      <c r="F203" s="216">
        <v>1</v>
      </c>
      <c r="G203" s="215">
        <f t="shared" si="11"/>
        <v>507</v>
      </c>
      <c r="H203" s="219">
        <v>9800</v>
      </c>
      <c r="I203" s="205" t="s">
        <v>621</v>
      </c>
    </row>
    <row r="204" spans="1:9" ht="14.25">
      <c r="A204" s="256"/>
      <c r="B204" s="51" t="s">
        <v>422</v>
      </c>
      <c r="C204" s="212" t="s">
        <v>61</v>
      </c>
      <c r="D204" s="212">
        <v>710</v>
      </c>
      <c r="E204" s="269">
        <v>1</v>
      </c>
      <c r="F204" s="216">
        <v>1</v>
      </c>
      <c r="G204" s="261">
        <v>710</v>
      </c>
      <c r="H204" s="219">
        <v>17612</v>
      </c>
      <c r="I204" s="51" t="s">
        <v>623</v>
      </c>
    </row>
    <row r="205" spans="1:9" ht="14.25">
      <c r="A205" s="256"/>
      <c r="B205" s="51" t="s">
        <v>477</v>
      </c>
      <c r="C205" s="212" t="s">
        <v>61</v>
      </c>
      <c r="D205" s="212">
        <v>2057</v>
      </c>
      <c r="E205" s="269">
        <v>1</v>
      </c>
      <c r="F205" s="216">
        <v>1</v>
      </c>
      <c r="G205" s="261">
        <f t="shared" si="11"/>
        <v>2057</v>
      </c>
      <c r="H205" s="219">
        <v>66969</v>
      </c>
      <c r="I205" s="51" t="s">
        <v>619</v>
      </c>
    </row>
    <row r="206" spans="1:9" ht="14.25">
      <c r="A206" s="256"/>
      <c r="B206" s="51" t="s">
        <v>244</v>
      </c>
      <c r="C206" s="212" t="s">
        <v>61</v>
      </c>
      <c r="D206" s="212">
        <v>224</v>
      </c>
      <c r="E206" s="269">
        <v>1</v>
      </c>
      <c r="F206" s="216">
        <v>1</v>
      </c>
      <c r="G206" s="261">
        <f t="shared" si="11"/>
        <v>224</v>
      </c>
      <c r="H206" s="219">
        <v>4806</v>
      </c>
      <c r="I206" s="205" t="s">
        <v>620</v>
      </c>
    </row>
    <row r="207" spans="1:9" ht="14.25">
      <c r="A207" s="256"/>
      <c r="B207" s="51" t="s">
        <v>645</v>
      </c>
      <c r="C207" s="212" t="s">
        <v>61</v>
      </c>
      <c r="D207" s="212">
        <v>10</v>
      </c>
      <c r="E207" s="269">
        <v>1</v>
      </c>
      <c r="F207" s="216">
        <v>1</v>
      </c>
      <c r="G207" s="261">
        <f t="shared" si="11"/>
        <v>10</v>
      </c>
      <c r="H207" s="219">
        <v>3163</v>
      </c>
      <c r="I207" s="205" t="s">
        <v>618</v>
      </c>
    </row>
    <row r="208" spans="1:9" ht="14.25">
      <c r="A208" s="256"/>
      <c r="B208" s="51" t="s">
        <v>667</v>
      </c>
      <c r="C208" s="212" t="s">
        <v>61</v>
      </c>
      <c r="D208" s="212">
        <v>711</v>
      </c>
      <c r="E208" s="269">
        <v>1</v>
      </c>
      <c r="F208" s="216">
        <v>1</v>
      </c>
      <c r="G208" s="261">
        <f t="shared" si="11"/>
        <v>711</v>
      </c>
      <c r="H208" s="219">
        <v>21072</v>
      </c>
      <c r="I208" s="205" t="s">
        <v>624</v>
      </c>
    </row>
    <row r="209" spans="1:9" ht="14.25">
      <c r="A209" s="212"/>
      <c r="B209" s="93" t="s">
        <v>413</v>
      </c>
      <c r="C209" s="224"/>
      <c r="D209" s="224"/>
      <c r="E209" s="269"/>
      <c r="F209" s="216"/>
      <c r="G209" s="245">
        <f>SUM(G201:G208)</f>
        <v>20557</v>
      </c>
      <c r="H209" s="218">
        <f>SUM(H201:H208)</f>
        <v>444586</v>
      </c>
      <c r="I209" s="51"/>
    </row>
    <row r="210" spans="1:9" ht="15">
      <c r="A210" s="212"/>
      <c r="B210" s="93" t="s">
        <v>276</v>
      </c>
      <c r="C210" s="215"/>
      <c r="D210" s="212"/>
      <c r="E210" s="269"/>
      <c r="F210" s="216"/>
      <c r="G210" s="333">
        <f>G199+G209</f>
        <v>60435.33912</v>
      </c>
      <c r="H210" s="254">
        <f>H199+H209</f>
        <v>1044483.0018051814</v>
      </c>
      <c r="I210" s="51"/>
    </row>
    <row r="211" spans="1:9" ht="12.75">
      <c r="A211" s="205"/>
      <c r="B211" s="47" t="s">
        <v>603</v>
      </c>
      <c r="C211" s="212"/>
      <c r="D211" s="205"/>
      <c r="E211" s="205"/>
      <c r="F211" s="205"/>
      <c r="G211" s="272"/>
      <c r="H211" s="235">
        <f>H212+H213</f>
        <v>24000</v>
      </c>
      <c r="I211" s="51"/>
    </row>
    <row r="212" spans="1:9" ht="12.75">
      <c r="A212" s="205"/>
      <c r="B212" s="47" t="s">
        <v>604</v>
      </c>
      <c r="C212" s="212" t="s">
        <v>80</v>
      </c>
      <c r="D212" s="215">
        <v>2</v>
      </c>
      <c r="E212" s="215"/>
      <c r="F212" s="215"/>
      <c r="G212" s="260"/>
      <c r="H212" s="223">
        <v>15000</v>
      </c>
      <c r="I212" s="51"/>
    </row>
    <row r="213" spans="1:9" ht="12.75">
      <c r="A213" s="205"/>
      <c r="B213" s="47" t="s">
        <v>492</v>
      </c>
      <c r="C213" s="212" t="s">
        <v>80</v>
      </c>
      <c r="D213" s="215">
        <v>2</v>
      </c>
      <c r="E213" s="215"/>
      <c r="F213" s="215"/>
      <c r="G213" s="260"/>
      <c r="H213" s="223">
        <v>9000</v>
      </c>
      <c r="I213" s="51"/>
    </row>
    <row r="214" spans="1:10" ht="18" customHeight="1">
      <c r="A214" s="205"/>
      <c r="B214" s="93" t="s">
        <v>276</v>
      </c>
      <c r="C214" s="231"/>
      <c r="D214" s="231"/>
      <c r="E214" s="231"/>
      <c r="F214" s="231"/>
      <c r="G214" s="245"/>
      <c r="H214" s="206">
        <f>H210+H211</f>
        <v>1068483.0018051814</v>
      </c>
      <c r="I214" s="51"/>
      <c r="J214" s="186"/>
    </row>
    <row r="215" spans="1:9" ht="12.75">
      <c r="A215" s="421" t="s">
        <v>221</v>
      </c>
      <c r="B215" s="422"/>
      <c r="C215" s="422"/>
      <c r="D215" s="422"/>
      <c r="E215" s="422"/>
      <c r="F215" s="422"/>
      <c r="G215" s="422"/>
      <c r="H215" s="422"/>
      <c r="I215" s="51"/>
    </row>
    <row r="216" spans="1:9" ht="12.75">
      <c r="A216" s="421" t="s">
        <v>265</v>
      </c>
      <c r="B216" s="422"/>
      <c r="C216" s="422"/>
      <c r="D216" s="422"/>
      <c r="E216" s="422"/>
      <c r="F216" s="422"/>
      <c r="G216" s="422"/>
      <c r="H216" s="422"/>
      <c r="I216" s="282"/>
    </row>
    <row r="217" spans="1:9" ht="12.75">
      <c r="A217" s="205">
        <v>1</v>
      </c>
      <c r="B217" s="205" t="s">
        <v>596</v>
      </c>
      <c r="C217" s="205"/>
      <c r="D217" s="205"/>
      <c r="E217" s="205"/>
      <c r="F217" s="205"/>
      <c r="G217" s="205"/>
      <c r="H217" s="205"/>
      <c r="I217" s="51"/>
    </row>
    <row r="218" spans="1:9" ht="12.75">
      <c r="A218" s="212">
        <v>1</v>
      </c>
      <c r="B218" s="51" t="s">
        <v>127</v>
      </c>
      <c r="C218" s="212" t="s">
        <v>53</v>
      </c>
      <c r="D218" s="211">
        <f>379+2.05+7</f>
        <v>388.05</v>
      </c>
      <c r="E218" s="271">
        <v>220</v>
      </c>
      <c r="F218" s="243">
        <v>0.162</v>
      </c>
      <c r="G218" s="261">
        <f aca="true" t="shared" si="12" ref="G218:G244">D218*E218*F218</f>
        <v>13830.102</v>
      </c>
      <c r="H218" s="219">
        <f>460655/40015.476*G218</f>
        <v>159211.04216803517</v>
      </c>
      <c r="I218" s="51"/>
    </row>
    <row r="219" spans="1:9" ht="12.75">
      <c r="A219" s="212">
        <v>2</v>
      </c>
      <c r="B219" s="51" t="s">
        <v>128</v>
      </c>
      <c r="C219" s="212" t="s">
        <v>53</v>
      </c>
      <c r="D219" s="212">
        <v>498.66</v>
      </c>
      <c r="E219" s="271">
        <v>180</v>
      </c>
      <c r="F219" s="243">
        <v>0.03</v>
      </c>
      <c r="G219" s="261">
        <f t="shared" si="12"/>
        <v>2692.764</v>
      </c>
      <c r="H219" s="219">
        <f aca="true" t="shared" si="13" ref="H219:H244">460655/40015.476*G219</f>
        <v>30998.88654129717</v>
      </c>
      <c r="I219" s="51"/>
    </row>
    <row r="220" spans="1:9" ht="12.75">
      <c r="A220" s="212">
        <v>3</v>
      </c>
      <c r="B220" s="51" t="s">
        <v>129</v>
      </c>
      <c r="C220" s="212" t="s">
        <v>80</v>
      </c>
      <c r="D220" s="212">
        <v>205</v>
      </c>
      <c r="E220" s="243">
        <v>220</v>
      </c>
      <c r="F220" s="243">
        <v>0.125</v>
      </c>
      <c r="G220" s="261">
        <f t="shared" si="12"/>
        <v>5637.5</v>
      </c>
      <c r="H220" s="219">
        <f t="shared" si="13"/>
        <v>64898.454850318405</v>
      </c>
      <c r="I220" s="51"/>
    </row>
    <row r="221" spans="1:9" ht="12.75">
      <c r="A221" s="212">
        <v>4</v>
      </c>
      <c r="B221" s="51" t="s">
        <v>130</v>
      </c>
      <c r="C221" s="212" t="s">
        <v>53</v>
      </c>
      <c r="D221" s="212">
        <v>406.39</v>
      </c>
      <c r="E221" s="243">
        <v>3</v>
      </c>
      <c r="F221" s="243">
        <v>1.6</v>
      </c>
      <c r="G221" s="261">
        <f t="shared" si="12"/>
        <v>1950.6720000000003</v>
      </c>
      <c r="H221" s="219">
        <f t="shared" si="13"/>
        <v>22455.982034550834</v>
      </c>
      <c r="I221" s="51"/>
    </row>
    <row r="222" spans="1:9" ht="12.75">
      <c r="A222" s="212">
        <v>5</v>
      </c>
      <c r="B222" s="51" t="s">
        <v>131</v>
      </c>
      <c r="C222" s="212"/>
      <c r="D222" s="212"/>
      <c r="E222" s="243"/>
      <c r="F222" s="243"/>
      <c r="G222" s="261">
        <f t="shared" si="12"/>
        <v>0</v>
      </c>
      <c r="H222" s="219">
        <f t="shared" si="13"/>
        <v>0</v>
      </c>
      <c r="I222" s="51"/>
    </row>
    <row r="223" spans="1:9" ht="12.75">
      <c r="A223" s="212"/>
      <c r="B223" s="51" t="s">
        <v>132</v>
      </c>
      <c r="C223" s="212" t="s">
        <v>73</v>
      </c>
      <c r="D223" s="212">
        <v>4523</v>
      </c>
      <c r="E223" s="243">
        <v>1</v>
      </c>
      <c r="F223" s="243">
        <v>0.19</v>
      </c>
      <c r="G223" s="261">
        <f t="shared" si="12"/>
        <v>859.37</v>
      </c>
      <c r="H223" s="219">
        <f t="shared" si="13"/>
        <v>9892.999582211642</v>
      </c>
      <c r="I223" s="51"/>
    </row>
    <row r="224" spans="1:9" ht="12.75">
      <c r="A224" s="212"/>
      <c r="B224" s="51" t="s">
        <v>133</v>
      </c>
      <c r="C224" s="212" t="s">
        <v>73</v>
      </c>
      <c r="D224" s="212">
        <v>1802.4</v>
      </c>
      <c r="E224" s="243">
        <v>1</v>
      </c>
      <c r="F224" s="243">
        <v>0.263</v>
      </c>
      <c r="G224" s="261">
        <f t="shared" si="12"/>
        <v>474.03120000000007</v>
      </c>
      <c r="H224" s="219">
        <f t="shared" si="13"/>
        <v>5457.009743830113</v>
      </c>
      <c r="I224" s="51"/>
    </row>
    <row r="225" spans="1:9" ht="12.75">
      <c r="A225" s="212">
        <v>6</v>
      </c>
      <c r="B225" s="51" t="s">
        <v>134</v>
      </c>
      <c r="C225" s="212" t="s">
        <v>135</v>
      </c>
      <c r="D225" s="212">
        <v>3.5</v>
      </c>
      <c r="E225" s="243">
        <v>14</v>
      </c>
      <c r="F225" s="243">
        <v>1.35</v>
      </c>
      <c r="G225" s="261">
        <f t="shared" si="12"/>
        <v>66.15</v>
      </c>
      <c r="H225" s="219">
        <f t="shared" si="13"/>
        <v>761.5135766471952</v>
      </c>
      <c r="I225" s="51"/>
    </row>
    <row r="226" spans="1:9" ht="12.75">
      <c r="A226" s="212">
        <v>7</v>
      </c>
      <c r="B226" s="51" t="s">
        <v>136</v>
      </c>
      <c r="C226" s="212" t="s">
        <v>84</v>
      </c>
      <c r="D226" s="212">
        <v>2</v>
      </c>
      <c r="E226" s="243">
        <v>12</v>
      </c>
      <c r="F226" s="243">
        <v>2.1</v>
      </c>
      <c r="G226" s="261">
        <f t="shared" si="12"/>
        <v>50.400000000000006</v>
      </c>
      <c r="H226" s="219">
        <f t="shared" si="13"/>
        <v>580.200820302625</v>
      </c>
      <c r="I226" s="51"/>
    </row>
    <row r="227" spans="1:9" ht="12.75">
      <c r="A227" s="212">
        <v>8</v>
      </c>
      <c r="B227" s="51" t="s">
        <v>137</v>
      </c>
      <c r="C227" s="212" t="s">
        <v>135</v>
      </c>
      <c r="D227" s="212">
        <v>1.5</v>
      </c>
      <c r="E227" s="243">
        <v>50</v>
      </c>
      <c r="F227" s="243">
        <v>2.75</v>
      </c>
      <c r="G227" s="261">
        <f t="shared" si="12"/>
        <v>206.25</v>
      </c>
      <c r="H227" s="219">
        <f t="shared" si="13"/>
        <v>2374.333714036039</v>
      </c>
      <c r="I227" s="51"/>
    </row>
    <row r="228" spans="1:9" ht="12.75">
      <c r="A228" s="212">
        <v>9</v>
      </c>
      <c r="B228" s="51" t="s">
        <v>138</v>
      </c>
      <c r="C228" s="212" t="s">
        <v>135</v>
      </c>
      <c r="D228" s="212">
        <v>1.5</v>
      </c>
      <c r="E228" s="243">
        <v>50</v>
      </c>
      <c r="F228" s="243">
        <v>3.25</v>
      </c>
      <c r="G228" s="261">
        <f t="shared" si="12"/>
        <v>243.75</v>
      </c>
      <c r="H228" s="219">
        <f t="shared" si="13"/>
        <v>2806.0307529516826</v>
      </c>
      <c r="I228" s="51"/>
    </row>
    <row r="229" spans="1:9" ht="12.75">
      <c r="A229" s="212">
        <v>10</v>
      </c>
      <c r="B229" s="51" t="s">
        <v>139</v>
      </c>
      <c r="C229" s="212" t="s">
        <v>53</v>
      </c>
      <c r="D229" s="212">
        <v>249.56</v>
      </c>
      <c r="E229" s="243">
        <v>12</v>
      </c>
      <c r="F229" s="243">
        <v>0.03</v>
      </c>
      <c r="G229" s="261">
        <f t="shared" si="12"/>
        <v>89.8416</v>
      </c>
      <c r="H229" s="219">
        <f t="shared" si="13"/>
        <v>1034.2494051051647</v>
      </c>
      <c r="I229" s="51"/>
    </row>
    <row r="230" spans="1:9" ht="12.75">
      <c r="A230" s="212">
        <v>11</v>
      </c>
      <c r="B230" s="51" t="s">
        <v>140</v>
      </c>
      <c r="C230" s="212" t="s">
        <v>53</v>
      </c>
      <c r="D230" s="212">
        <v>169.47</v>
      </c>
      <c r="E230" s="243">
        <v>40</v>
      </c>
      <c r="F230" s="243">
        <v>0.03</v>
      </c>
      <c r="G230" s="261">
        <f t="shared" si="12"/>
        <v>203.364</v>
      </c>
      <c r="H230" s="219">
        <f t="shared" si="13"/>
        <v>2341.1103099210914</v>
      </c>
      <c r="I230" s="51"/>
    </row>
    <row r="231" spans="1:9" ht="12.75">
      <c r="A231" s="212">
        <v>12</v>
      </c>
      <c r="B231" s="51" t="s">
        <v>141</v>
      </c>
      <c r="C231" s="212" t="s">
        <v>53</v>
      </c>
      <c r="D231" s="212">
        <v>4.45</v>
      </c>
      <c r="E231" s="243">
        <v>6</v>
      </c>
      <c r="F231" s="243">
        <v>6.25</v>
      </c>
      <c r="G231" s="261">
        <f t="shared" si="12"/>
        <v>166.87500000000003</v>
      </c>
      <c r="H231" s="219">
        <f t="shared" si="13"/>
        <v>1921.051823174614</v>
      </c>
      <c r="I231" s="51"/>
    </row>
    <row r="232" spans="1:9" ht="12.75">
      <c r="A232" s="212">
        <v>13</v>
      </c>
      <c r="B232" s="51" t="s">
        <v>142</v>
      </c>
      <c r="C232" s="212" t="s">
        <v>73</v>
      </c>
      <c r="D232" s="212">
        <v>495</v>
      </c>
      <c r="E232" s="243">
        <v>6</v>
      </c>
      <c r="F232" s="243">
        <v>0.075</v>
      </c>
      <c r="G232" s="261">
        <f t="shared" si="12"/>
        <v>222.75</v>
      </c>
      <c r="H232" s="219">
        <f t="shared" si="13"/>
        <v>2564.2804111589226</v>
      </c>
      <c r="I232" s="51"/>
    </row>
    <row r="233" spans="1:9" ht="12.75">
      <c r="A233" s="212">
        <v>14</v>
      </c>
      <c r="B233" s="51" t="s">
        <v>143</v>
      </c>
      <c r="C233" s="212" t="s">
        <v>53</v>
      </c>
      <c r="D233" s="212">
        <v>377.28</v>
      </c>
      <c r="E233" s="243">
        <v>6</v>
      </c>
      <c r="F233" s="243">
        <v>0.427</v>
      </c>
      <c r="G233" s="261">
        <f t="shared" si="12"/>
        <v>966.5913599999999</v>
      </c>
      <c r="H233" s="219">
        <f t="shared" si="13"/>
        <v>11127.32341209186</v>
      </c>
      <c r="I233" s="51"/>
    </row>
    <row r="234" spans="1:9" ht="12.75">
      <c r="A234" s="212">
        <v>15</v>
      </c>
      <c r="B234" s="51" t="s">
        <v>144</v>
      </c>
      <c r="C234" s="212" t="s">
        <v>53</v>
      </c>
      <c r="D234" s="212">
        <v>377.32</v>
      </c>
      <c r="E234" s="243">
        <v>6</v>
      </c>
      <c r="F234" s="243">
        <v>1.6</v>
      </c>
      <c r="G234" s="261">
        <f t="shared" si="12"/>
        <v>3622.2720000000004</v>
      </c>
      <c r="H234" s="219">
        <f t="shared" si="13"/>
        <v>41699.30924125456</v>
      </c>
      <c r="I234" s="51"/>
    </row>
    <row r="235" spans="1:9" ht="12.75">
      <c r="A235" s="212">
        <v>16</v>
      </c>
      <c r="B235" s="51" t="s">
        <v>145</v>
      </c>
      <c r="C235" s="212"/>
      <c r="D235" s="212"/>
      <c r="E235" s="243"/>
      <c r="F235" s="243"/>
      <c r="G235" s="261">
        <f t="shared" si="12"/>
        <v>0</v>
      </c>
      <c r="H235" s="219">
        <f t="shared" si="13"/>
        <v>0</v>
      </c>
      <c r="I235" s="51"/>
    </row>
    <row r="236" spans="1:9" ht="12.75">
      <c r="A236" s="212"/>
      <c r="B236" s="51" t="s">
        <v>146</v>
      </c>
      <c r="C236" s="212"/>
      <c r="D236" s="212"/>
      <c r="E236" s="243"/>
      <c r="F236" s="243"/>
      <c r="G236" s="261">
        <f t="shared" si="12"/>
        <v>0</v>
      </c>
      <c r="H236" s="219">
        <f t="shared" si="13"/>
        <v>0</v>
      </c>
      <c r="I236" s="51"/>
    </row>
    <row r="237" spans="1:9" ht="12.75">
      <c r="A237" s="212"/>
      <c r="B237" s="51" t="s">
        <v>147</v>
      </c>
      <c r="C237" s="212" t="s">
        <v>53</v>
      </c>
      <c r="D237" s="212">
        <v>73.35</v>
      </c>
      <c r="E237" s="243">
        <v>42</v>
      </c>
      <c r="F237" s="243">
        <v>1.21</v>
      </c>
      <c r="G237" s="261">
        <f t="shared" si="12"/>
        <v>3727.6469999999995</v>
      </c>
      <c r="H237" s="219">
        <f t="shared" si="13"/>
        <v>42912.377920607505</v>
      </c>
      <c r="I237" s="51"/>
    </row>
    <row r="238" spans="1:9" ht="12.75">
      <c r="A238" s="212"/>
      <c r="B238" s="51" t="s">
        <v>148</v>
      </c>
      <c r="C238" s="212" t="s">
        <v>53</v>
      </c>
      <c r="D238" s="212">
        <v>73.35</v>
      </c>
      <c r="E238" s="243">
        <v>20</v>
      </c>
      <c r="F238" s="243">
        <v>1.43</v>
      </c>
      <c r="G238" s="261">
        <f t="shared" si="12"/>
        <v>2097.81</v>
      </c>
      <c r="H238" s="219">
        <f t="shared" si="13"/>
        <v>24149.823072203362</v>
      </c>
      <c r="I238" s="51"/>
    </row>
    <row r="239" spans="1:9" ht="12.75">
      <c r="A239" s="212">
        <v>17</v>
      </c>
      <c r="B239" s="51" t="s">
        <v>149</v>
      </c>
      <c r="C239" s="212" t="s">
        <v>53</v>
      </c>
      <c r="D239" s="212">
        <v>79.3</v>
      </c>
      <c r="E239" s="243">
        <v>40</v>
      </c>
      <c r="F239" s="243">
        <v>0.4</v>
      </c>
      <c r="G239" s="261">
        <f t="shared" si="12"/>
        <v>1268.8000000000002</v>
      </c>
      <c r="H239" s="219">
        <f t="shared" si="13"/>
        <v>14606.325412697828</v>
      </c>
      <c r="I239" s="51"/>
    </row>
    <row r="240" spans="1:9" ht="12.75">
      <c r="A240" s="212">
        <v>18</v>
      </c>
      <c r="B240" s="51" t="s">
        <v>150</v>
      </c>
      <c r="C240" s="212" t="s">
        <v>80</v>
      </c>
      <c r="D240" s="212">
        <v>140</v>
      </c>
      <c r="E240" s="243">
        <v>20</v>
      </c>
      <c r="F240" s="243">
        <v>0.04</v>
      </c>
      <c r="G240" s="261">
        <f t="shared" si="12"/>
        <v>112</v>
      </c>
      <c r="H240" s="219">
        <f t="shared" si="13"/>
        <v>1289.3351562280552</v>
      </c>
      <c r="I240" s="51"/>
    </row>
    <row r="241" spans="1:9" ht="12.75">
      <c r="A241" s="212">
        <v>19</v>
      </c>
      <c r="B241" s="51" t="s">
        <v>587</v>
      </c>
      <c r="C241" s="212" t="s">
        <v>65</v>
      </c>
      <c r="D241" s="212">
        <v>6.8</v>
      </c>
      <c r="E241" s="243">
        <v>6</v>
      </c>
      <c r="F241" s="243">
        <v>0.92</v>
      </c>
      <c r="G241" s="261">
        <f>D241*E241*F241</f>
        <v>37.536</v>
      </c>
      <c r="H241" s="219">
        <f t="shared" si="13"/>
        <v>432.1114680730025</v>
      </c>
      <c r="I241" s="51"/>
    </row>
    <row r="242" spans="1:9" ht="12.75">
      <c r="A242" s="212">
        <v>20</v>
      </c>
      <c r="B242" s="51" t="s">
        <v>115</v>
      </c>
      <c r="C242" s="212" t="s">
        <v>61</v>
      </c>
      <c r="D242" s="212">
        <f>4*8</f>
        <v>32</v>
      </c>
      <c r="E242" s="243">
        <v>3</v>
      </c>
      <c r="F242" s="243">
        <v>1</v>
      </c>
      <c r="G242" s="261">
        <f t="shared" si="12"/>
        <v>96</v>
      </c>
      <c r="H242" s="219">
        <f t="shared" si="13"/>
        <v>1105.1444196240473</v>
      </c>
      <c r="I242" s="51"/>
    </row>
    <row r="243" spans="1:9" ht="12.75">
      <c r="A243" s="212">
        <v>21</v>
      </c>
      <c r="B243" s="270" t="s">
        <v>414</v>
      </c>
      <c r="C243" s="212" t="s">
        <v>80</v>
      </c>
      <c r="D243" s="212">
        <v>200</v>
      </c>
      <c r="E243" s="243">
        <v>1</v>
      </c>
      <c r="F243" s="243">
        <v>0.115</v>
      </c>
      <c r="G243" s="261">
        <f t="shared" si="12"/>
        <v>23</v>
      </c>
      <c r="H243" s="219">
        <f t="shared" si="13"/>
        <v>264.77418386826133</v>
      </c>
      <c r="I243" s="51"/>
    </row>
    <row r="244" spans="1:9" ht="12.75">
      <c r="A244" s="212">
        <v>22</v>
      </c>
      <c r="B244" s="51" t="s">
        <v>153</v>
      </c>
      <c r="C244" s="212" t="s">
        <v>61</v>
      </c>
      <c r="D244" s="212">
        <f>21*8</f>
        <v>168</v>
      </c>
      <c r="E244" s="243">
        <v>5</v>
      </c>
      <c r="F244" s="243">
        <v>1</v>
      </c>
      <c r="G244" s="261">
        <f t="shared" si="12"/>
        <v>840</v>
      </c>
      <c r="H244" s="219">
        <f t="shared" si="13"/>
        <v>9670.013671710414</v>
      </c>
      <c r="I244" s="51"/>
    </row>
    <row r="245" spans="1:9" ht="12.75">
      <c r="A245" s="212"/>
      <c r="B245" s="47" t="s">
        <v>413</v>
      </c>
      <c r="C245" s="212"/>
      <c r="D245" s="212"/>
      <c r="E245" s="243"/>
      <c r="F245" s="243"/>
      <c r="G245" s="288">
        <f>SUM(G218:G244)</f>
        <v>39485.476160000006</v>
      </c>
      <c r="H245" s="218">
        <f>SUM(H218:H244)</f>
        <v>454553.68369189976</v>
      </c>
      <c r="I245" s="51"/>
    </row>
    <row r="246" spans="1:9" ht="12.75">
      <c r="A246" s="212">
        <v>25</v>
      </c>
      <c r="B246" s="93" t="s">
        <v>508</v>
      </c>
      <c r="C246" s="212"/>
      <c r="D246" s="212"/>
      <c r="E246" s="243"/>
      <c r="F246" s="243"/>
      <c r="G246" s="215" t="s">
        <v>476</v>
      </c>
      <c r="H246" s="219"/>
      <c r="I246" s="51"/>
    </row>
    <row r="247" spans="1:9" ht="12.75">
      <c r="A247" s="212"/>
      <c r="B247" s="51" t="s">
        <v>595</v>
      </c>
      <c r="C247" s="215" t="s">
        <v>476</v>
      </c>
      <c r="D247" s="212">
        <v>400</v>
      </c>
      <c r="E247" s="243">
        <v>1</v>
      </c>
      <c r="F247" s="243">
        <v>1</v>
      </c>
      <c r="G247" s="212">
        <v>400</v>
      </c>
      <c r="H247" s="219">
        <f>460655/40015.476*G247</f>
        <v>4604.768415100198</v>
      </c>
      <c r="I247" s="51"/>
    </row>
    <row r="248" spans="1:9" ht="12.75">
      <c r="A248" s="212"/>
      <c r="B248" s="51" t="s">
        <v>451</v>
      </c>
      <c r="C248" s="215" t="s">
        <v>476</v>
      </c>
      <c r="D248" s="212">
        <v>60</v>
      </c>
      <c r="E248" s="243">
        <v>1</v>
      </c>
      <c r="F248" s="243">
        <v>1</v>
      </c>
      <c r="G248" s="212">
        <v>60</v>
      </c>
      <c r="H248" s="219">
        <f>460655/40015.476*G248</f>
        <v>690.7152622650297</v>
      </c>
      <c r="I248" s="51"/>
    </row>
    <row r="249" spans="1:10" ht="12.75">
      <c r="A249" s="212"/>
      <c r="B249" s="51" t="s">
        <v>452</v>
      </c>
      <c r="C249" s="215" t="s">
        <v>476</v>
      </c>
      <c r="D249" s="212">
        <v>20</v>
      </c>
      <c r="E249" s="243">
        <v>1</v>
      </c>
      <c r="F249" s="243">
        <v>1</v>
      </c>
      <c r="G249" s="212">
        <v>20</v>
      </c>
      <c r="H249" s="219">
        <f>460655/40015.476*G249</f>
        <v>230.23842075500988</v>
      </c>
      <c r="I249" s="51"/>
      <c r="J249" s="186"/>
    </row>
    <row r="250" spans="1:9" ht="12.75">
      <c r="A250" s="212"/>
      <c r="B250" s="51" t="s">
        <v>573</v>
      </c>
      <c r="C250" s="215" t="s">
        <v>476</v>
      </c>
      <c r="D250" s="212">
        <v>50</v>
      </c>
      <c r="E250" s="243">
        <v>1</v>
      </c>
      <c r="F250" s="243">
        <v>1</v>
      </c>
      <c r="G250" s="212">
        <v>50</v>
      </c>
      <c r="H250" s="219">
        <f>460655/40015.476*G250</f>
        <v>575.5960518875247</v>
      </c>
      <c r="I250" s="51"/>
    </row>
    <row r="251" spans="1:9" ht="12.75">
      <c r="A251" s="212"/>
      <c r="B251" s="47" t="s">
        <v>413</v>
      </c>
      <c r="C251" s="212"/>
      <c r="D251" s="212"/>
      <c r="E251" s="243"/>
      <c r="F251" s="243"/>
      <c r="G251" s="207">
        <f>SUM(G247:G250)</f>
        <v>530</v>
      </c>
      <c r="H251" s="218">
        <f>SUM(H247:H250)</f>
        <v>6101.318150007762</v>
      </c>
      <c r="I251" s="51"/>
    </row>
    <row r="252" spans="1:9" ht="18" customHeight="1">
      <c r="A252" s="212"/>
      <c r="B252" s="2" t="s">
        <v>662</v>
      </c>
      <c r="C252" s="329"/>
      <c r="D252" s="329"/>
      <c r="E252" s="329"/>
      <c r="F252" s="329"/>
      <c r="G252" s="332">
        <f>G245+G251</f>
        <v>40015.476160000006</v>
      </c>
      <c r="H252" s="213">
        <f>H245+H251</f>
        <v>460655.0018419075</v>
      </c>
      <c r="I252" s="51"/>
    </row>
    <row r="253" spans="1:10" ht="14.25" customHeight="1">
      <c r="A253" s="212">
        <v>23</v>
      </c>
      <c r="B253" s="93" t="s">
        <v>154</v>
      </c>
      <c r="C253" s="212"/>
      <c r="D253" s="212"/>
      <c r="E253" s="243"/>
      <c r="F253" s="243"/>
      <c r="G253" s="261"/>
      <c r="H253" s="219"/>
      <c r="I253" s="205" t="s">
        <v>386</v>
      </c>
      <c r="J253" s="344"/>
    </row>
    <row r="254" spans="1:10" ht="12.75">
      <c r="A254" s="212">
        <v>24</v>
      </c>
      <c r="B254" s="51" t="s">
        <v>628</v>
      </c>
      <c r="C254" s="212" t="s">
        <v>61</v>
      </c>
      <c r="D254" s="261">
        <v>1270</v>
      </c>
      <c r="E254" s="243">
        <v>1</v>
      </c>
      <c r="F254" s="243">
        <v>1</v>
      </c>
      <c r="G254" s="261">
        <v>1270</v>
      </c>
      <c r="H254" s="219">
        <v>49096</v>
      </c>
      <c r="I254" s="208" t="s">
        <v>615</v>
      </c>
      <c r="J254" s="344"/>
    </row>
    <row r="255" spans="1:10" ht="12.75">
      <c r="A255" s="212"/>
      <c r="B255" s="51" t="s">
        <v>629</v>
      </c>
      <c r="C255" s="212" t="s">
        <v>61</v>
      </c>
      <c r="D255" s="261">
        <v>3717</v>
      </c>
      <c r="E255" s="243">
        <v>1</v>
      </c>
      <c r="F255" s="243">
        <v>1</v>
      </c>
      <c r="G255" s="261">
        <v>3717</v>
      </c>
      <c r="H255" s="219">
        <v>69537</v>
      </c>
      <c r="I255" s="208" t="s">
        <v>609</v>
      </c>
      <c r="J255" s="344"/>
    </row>
    <row r="256" spans="1:10" ht="12.75">
      <c r="A256" s="212"/>
      <c r="B256" s="51" t="s">
        <v>261</v>
      </c>
      <c r="C256" s="212" t="s">
        <v>61</v>
      </c>
      <c r="D256" s="261">
        <v>99</v>
      </c>
      <c r="E256" s="243">
        <v>1</v>
      </c>
      <c r="F256" s="243">
        <v>1</v>
      </c>
      <c r="G256" s="261">
        <v>99</v>
      </c>
      <c r="H256" s="219">
        <v>2393</v>
      </c>
      <c r="I256" s="208" t="s">
        <v>616</v>
      </c>
      <c r="J256" s="344"/>
    </row>
    <row r="257" spans="1:10" ht="12.75">
      <c r="A257" s="212"/>
      <c r="B257" s="51" t="s">
        <v>262</v>
      </c>
      <c r="C257" s="212" t="s">
        <v>61</v>
      </c>
      <c r="D257" s="261">
        <v>30</v>
      </c>
      <c r="E257" s="243">
        <v>1</v>
      </c>
      <c r="F257" s="243">
        <v>1</v>
      </c>
      <c r="G257" s="261">
        <v>30</v>
      </c>
      <c r="H257" s="219">
        <v>612</v>
      </c>
      <c r="I257" s="208" t="s">
        <v>610</v>
      </c>
      <c r="J257" s="344"/>
    </row>
    <row r="258" spans="1:10" ht="12.75">
      <c r="A258" s="212"/>
      <c r="B258" s="268" t="s">
        <v>338</v>
      </c>
      <c r="C258" s="212" t="s">
        <v>61</v>
      </c>
      <c r="D258" s="261">
        <v>6</v>
      </c>
      <c r="E258" s="243">
        <v>1</v>
      </c>
      <c r="F258" s="243">
        <v>1</v>
      </c>
      <c r="G258" s="261">
        <v>6</v>
      </c>
      <c r="H258" s="219">
        <v>133</v>
      </c>
      <c r="I258" s="210" t="s">
        <v>611</v>
      </c>
      <c r="J258" s="344"/>
    </row>
    <row r="259" spans="1:10" ht="12.75">
      <c r="A259" s="212"/>
      <c r="B259" s="268" t="s">
        <v>612</v>
      </c>
      <c r="C259" s="212" t="s">
        <v>61</v>
      </c>
      <c r="D259" s="261">
        <v>25</v>
      </c>
      <c r="E259" s="243">
        <v>1</v>
      </c>
      <c r="F259" s="243">
        <v>1</v>
      </c>
      <c r="G259" s="261">
        <v>25</v>
      </c>
      <c r="H259" s="219">
        <v>1216</v>
      </c>
      <c r="I259" s="210" t="s">
        <v>613</v>
      </c>
      <c r="J259" s="344"/>
    </row>
    <row r="260" spans="1:10" ht="12.75">
      <c r="A260" s="212"/>
      <c r="B260" s="51" t="s">
        <v>359</v>
      </c>
      <c r="C260" s="212" t="s">
        <v>61</v>
      </c>
      <c r="D260" s="212">
        <v>1790</v>
      </c>
      <c r="E260" s="243">
        <v>1</v>
      </c>
      <c r="F260" s="243">
        <v>1</v>
      </c>
      <c r="G260" s="261">
        <v>1790</v>
      </c>
      <c r="H260" s="219">
        <v>45367</v>
      </c>
      <c r="I260" s="208" t="s">
        <v>626</v>
      </c>
      <c r="J260" s="344"/>
    </row>
    <row r="261" spans="1:10" ht="12.75">
      <c r="A261" s="212"/>
      <c r="B261" s="51" t="s">
        <v>417</v>
      </c>
      <c r="C261" s="212" t="s">
        <v>61</v>
      </c>
      <c r="D261" s="212">
        <v>330</v>
      </c>
      <c r="E261" s="243">
        <v>1</v>
      </c>
      <c r="F261" s="243">
        <v>1</v>
      </c>
      <c r="G261" s="261">
        <v>330</v>
      </c>
      <c r="H261" s="219">
        <v>8154</v>
      </c>
      <c r="I261" s="208">
        <v>418</v>
      </c>
      <c r="J261" s="344"/>
    </row>
    <row r="262" spans="1:9" ht="12.75">
      <c r="A262" s="212"/>
      <c r="B262" s="47" t="s">
        <v>599</v>
      </c>
      <c r="C262" s="212"/>
      <c r="D262" s="212"/>
      <c r="E262" s="243"/>
      <c r="F262" s="243"/>
      <c r="G262" s="207">
        <f>SUM(G254:G261)</f>
        <v>7267</v>
      </c>
      <c r="H262" s="242">
        <f>SUM(H254:H261)</f>
        <v>176508</v>
      </c>
      <c r="I262" s="51"/>
    </row>
    <row r="263" spans="1:9" ht="20.25" customHeight="1">
      <c r="A263" s="212"/>
      <c r="B263" s="93" t="s">
        <v>663</v>
      </c>
      <c r="C263" s="212"/>
      <c r="D263" s="212"/>
      <c r="E263" s="243"/>
      <c r="F263" s="243"/>
      <c r="G263" s="332">
        <f>G252+G262</f>
        <v>47282.476160000006</v>
      </c>
      <c r="H263" s="206">
        <f>H252+H262</f>
        <v>637163.0018419075</v>
      </c>
      <c r="I263" s="51"/>
    </row>
    <row r="264" spans="1:9" ht="16.5" customHeight="1">
      <c r="A264" s="212">
        <v>26</v>
      </c>
      <c r="B264" s="47" t="s">
        <v>228</v>
      </c>
      <c r="C264" s="208"/>
      <c r="D264" s="205"/>
      <c r="E264" s="205"/>
      <c r="F264" s="205"/>
      <c r="G264" s="207"/>
      <c r="H264" s="255">
        <f>H265+H266</f>
        <v>257700</v>
      </c>
      <c r="I264" s="51"/>
    </row>
    <row r="265" spans="1:9" ht="14.25" customHeight="1">
      <c r="A265" s="212"/>
      <c r="B265" s="47" t="s">
        <v>264</v>
      </c>
      <c r="C265" s="208" t="s">
        <v>80</v>
      </c>
      <c r="D265" s="205">
        <v>7</v>
      </c>
      <c r="E265" s="215"/>
      <c r="F265" s="215"/>
      <c r="G265" s="260"/>
      <c r="H265" s="255">
        <v>7700</v>
      </c>
      <c r="I265" s="51"/>
    </row>
    <row r="266" spans="1:9" ht="14.25" customHeight="1">
      <c r="A266" s="212"/>
      <c r="B266" s="47" t="s">
        <v>657</v>
      </c>
      <c r="C266" s="208" t="s">
        <v>80</v>
      </c>
      <c r="D266" s="205">
        <v>1</v>
      </c>
      <c r="E266" s="215"/>
      <c r="F266" s="215"/>
      <c r="G266" s="260"/>
      <c r="H266" s="255">
        <v>250000</v>
      </c>
      <c r="I266" s="51"/>
    </row>
    <row r="267" spans="1:9" ht="19.5" customHeight="1">
      <c r="A267" s="266"/>
      <c r="B267" s="93" t="s">
        <v>525</v>
      </c>
      <c r="C267" s="266"/>
      <c r="D267" s="266"/>
      <c r="E267" s="231"/>
      <c r="F267" s="231"/>
      <c r="H267" s="265">
        <f>H263+H264</f>
        <v>894863.0018419075</v>
      </c>
      <c r="I267" s="264"/>
    </row>
    <row r="268" spans="1:9" ht="12.75">
      <c r="A268" s="423" t="s">
        <v>222</v>
      </c>
      <c r="B268" s="424"/>
      <c r="C268" s="424"/>
      <c r="D268" s="424"/>
      <c r="E268" s="424"/>
      <c r="F268" s="424"/>
      <c r="G268" s="424"/>
      <c r="H268" s="424"/>
      <c r="I268" s="51"/>
    </row>
    <row r="269" spans="1:9" ht="12.75">
      <c r="A269" s="401" t="s">
        <v>21</v>
      </c>
      <c r="B269" s="395"/>
      <c r="C269" s="395"/>
      <c r="D269" s="395"/>
      <c r="E269" s="395"/>
      <c r="F269" s="395"/>
      <c r="G269" s="395"/>
      <c r="H269" s="395"/>
      <c r="I269" s="51"/>
    </row>
    <row r="270" spans="1:9" ht="17.25" customHeight="1">
      <c r="A270" s="227">
        <v>1</v>
      </c>
      <c r="B270" s="263" t="s">
        <v>274</v>
      </c>
      <c r="C270" s="215"/>
      <c r="D270" s="215"/>
      <c r="E270" s="215"/>
      <c r="F270" s="215"/>
      <c r="G270" s="207"/>
      <c r="H270" s="233">
        <v>270453</v>
      </c>
      <c r="I270" s="51"/>
    </row>
    <row r="271" spans="1:9" ht="12.75">
      <c r="A271" s="227">
        <v>2</v>
      </c>
      <c r="B271" s="226" t="s">
        <v>548</v>
      </c>
      <c r="D271" s="215"/>
      <c r="E271" s="215"/>
      <c r="F271" s="215"/>
      <c r="G271" s="260"/>
      <c r="H271" s="223"/>
      <c r="I271" s="51"/>
    </row>
    <row r="272" spans="1:9" ht="12.75">
      <c r="A272" s="227"/>
      <c r="B272" s="51" t="s">
        <v>559</v>
      </c>
      <c r="C272" s="215" t="s">
        <v>324</v>
      </c>
      <c r="D272" s="215">
        <v>300</v>
      </c>
      <c r="E272" s="215">
        <v>1</v>
      </c>
      <c r="F272" s="215">
        <v>0.3</v>
      </c>
      <c r="G272" s="260">
        <f aca="true" t="shared" si="14" ref="G272:G293">D272*E272*F272</f>
        <v>90</v>
      </c>
      <c r="H272" s="219">
        <f>76778/5204.638*G272</f>
        <v>1327.6658242129424</v>
      </c>
      <c r="I272" s="51"/>
    </row>
    <row r="273" spans="1:9" ht="12.75">
      <c r="A273" s="227"/>
      <c r="B273" s="51" t="s">
        <v>302</v>
      </c>
      <c r="C273" s="215"/>
      <c r="D273" s="215">
        <v>956</v>
      </c>
      <c r="E273" s="215">
        <v>1</v>
      </c>
      <c r="F273" s="215">
        <v>0.3</v>
      </c>
      <c r="G273" s="260">
        <f t="shared" si="14"/>
        <v>286.8</v>
      </c>
      <c r="H273" s="219">
        <f aca="true" t="shared" si="15" ref="H273:H294">76778/5204.638*G273</f>
        <v>4230.82842649191</v>
      </c>
      <c r="I273" s="51"/>
    </row>
    <row r="274" spans="1:9" ht="12.75">
      <c r="A274" s="227"/>
      <c r="B274" s="51" t="s">
        <v>303</v>
      </c>
      <c r="C274" s="215"/>
      <c r="D274" s="215">
        <v>956</v>
      </c>
      <c r="E274" s="215">
        <v>1</v>
      </c>
      <c r="F274" s="215">
        <v>0.2</v>
      </c>
      <c r="G274" s="260">
        <f t="shared" si="14"/>
        <v>191.20000000000002</v>
      </c>
      <c r="H274" s="219">
        <f t="shared" si="15"/>
        <v>2820.55228432794</v>
      </c>
      <c r="I274" s="51"/>
    </row>
    <row r="275" spans="1:9" ht="12.75">
      <c r="A275" s="227"/>
      <c r="B275" s="51" t="s">
        <v>304</v>
      </c>
      <c r="C275" s="215"/>
      <c r="D275" s="215"/>
      <c r="E275" s="215"/>
      <c r="F275" s="215"/>
      <c r="G275" s="260">
        <f t="shared" si="14"/>
        <v>0</v>
      </c>
      <c r="H275" s="219">
        <f t="shared" si="15"/>
        <v>0</v>
      </c>
      <c r="I275" s="51"/>
    </row>
    <row r="276" spans="1:9" ht="12.75">
      <c r="A276" s="262"/>
      <c r="B276" s="47" t="s">
        <v>305</v>
      </c>
      <c r="C276" s="215"/>
      <c r="D276" s="215"/>
      <c r="E276" s="215"/>
      <c r="F276" s="215"/>
      <c r="G276" s="260">
        <f t="shared" si="14"/>
        <v>0</v>
      </c>
      <c r="H276" s="219">
        <f t="shared" si="15"/>
        <v>0</v>
      </c>
      <c r="I276" s="51"/>
    </row>
    <row r="277" spans="1:9" ht="12.75">
      <c r="A277" s="227"/>
      <c r="B277" s="51" t="s">
        <v>306</v>
      </c>
      <c r="C277" s="215" t="s">
        <v>325</v>
      </c>
      <c r="D277" s="215">
        <v>229</v>
      </c>
      <c r="E277" s="215">
        <v>4</v>
      </c>
      <c r="F277" s="215">
        <v>0.1</v>
      </c>
      <c r="G277" s="260">
        <f t="shared" si="14"/>
        <v>91.60000000000001</v>
      </c>
      <c r="H277" s="219">
        <f t="shared" si="15"/>
        <v>1351.2687721989505</v>
      </c>
      <c r="I277" s="51"/>
    </row>
    <row r="278" spans="1:9" ht="12.75">
      <c r="A278" s="227"/>
      <c r="B278" s="51" t="s">
        <v>531</v>
      </c>
      <c r="C278" s="215"/>
      <c r="D278" s="215">
        <v>229</v>
      </c>
      <c r="E278" s="215">
        <v>2</v>
      </c>
      <c r="F278" s="215">
        <v>0.2</v>
      </c>
      <c r="G278" s="260">
        <f t="shared" si="14"/>
        <v>91.60000000000001</v>
      </c>
      <c r="H278" s="219">
        <f t="shared" si="15"/>
        <v>1351.2687721989505</v>
      </c>
      <c r="I278" s="51"/>
    </row>
    <row r="279" spans="1:9" ht="12.75">
      <c r="A279" s="227"/>
      <c r="B279" s="51" t="s">
        <v>308</v>
      </c>
      <c r="C279" s="215"/>
      <c r="D279" s="215">
        <v>229</v>
      </c>
      <c r="E279" s="215">
        <v>1</v>
      </c>
      <c r="F279" s="215">
        <v>0.1</v>
      </c>
      <c r="G279" s="260">
        <f t="shared" si="14"/>
        <v>22.900000000000002</v>
      </c>
      <c r="H279" s="219">
        <f t="shared" si="15"/>
        <v>337.8171930497376</v>
      </c>
      <c r="I279" s="51"/>
    </row>
    <row r="280" spans="1:9" ht="12.75">
      <c r="A280" s="227"/>
      <c r="B280" s="47" t="s">
        <v>309</v>
      </c>
      <c r="C280" s="215"/>
      <c r="D280" s="215"/>
      <c r="E280" s="215"/>
      <c r="F280" s="215"/>
      <c r="G280" s="260">
        <f t="shared" si="14"/>
        <v>0</v>
      </c>
      <c r="H280" s="219">
        <f t="shared" si="15"/>
        <v>0</v>
      </c>
      <c r="I280" s="51"/>
    </row>
    <row r="281" spans="1:9" ht="12.75">
      <c r="A281" s="227"/>
      <c r="B281" s="51" t="s">
        <v>310</v>
      </c>
      <c r="C281" s="215" t="s">
        <v>325</v>
      </c>
      <c r="D281" s="215">
        <v>739</v>
      </c>
      <c r="E281" s="215">
        <v>4</v>
      </c>
      <c r="F281" s="215">
        <v>0.15</v>
      </c>
      <c r="G281" s="260">
        <f t="shared" si="14"/>
        <v>443.4</v>
      </c>
      <c r="H281" s="219">
        <f t="shared" si="15"/>
        <v>6540.96696062243</v>
      </c>
      <c r="I281" s="51"/>
    </row>
    <row r="282" spans="1:9" ht="12.75">
      <c r="A282" s="227"/>
      <c r="B282" s="51" t="s">
        <v>532</v>
      </c>
      <c r="C282" s="215"/>
      <c r="D282" s="215">
        <v>739</v>
      </c>
      <c r="E282" s="215">
        <v>2</v>
      </c>
      <c r="F282" s="215">
        <v>0.6</v>
      </c>
      <c r="G282" s="260">
        <f t="shared" si="14"/>
        <v>886.8</v>
      </c>
      <c r="H282" s="219">
        <f t="shared" si="15"/>
        <v>13081.93392124486</v>
      </c>
      <c r="I282" s="51"/>
    </row>
    <row r="283" spans="1:9" ht="12.75">
      <c r="A283" s="227"/>
      <c r="B283" s="51" t="s">
        <v>308</v>
      </c>
      <c r="C283" s="215"/>
      <c r="D283" s="215">
        <v>739</v>
      </c>
      <c r="E283" s="215">
        <v>1</v>
      </c>
      <c r="F283" s="215">
        <v>0.1</v>
      </c>
      <c r="G283" s="260">
        <f t="shared" si="14"/>
        <v>73.9</v>
      </c>
      <c r="H283" s="219">
        <f t="shared" si="15"/>
        <v>1090.1611601037384</v>
      </c>
      <c r="I283" s="51"/>
    </row>
    <row r="284" spans="1:9" ht="12.75">
      <c r="A284" s="227"/>
      <c r="B284" s="47" t="s">
        <v>313</v>
      </c>
      <c r="C284" s="215"/>
      <c r="D284" s="215"/>
      <c r="E284" s="215"/>
      <c r="F284" s="215"/>
      <c r="G284" s="260">
        <f t="shared" si="14"/>
        <v>0</v>
      </c>
      <c r="H284" s="219">
        <f t="shared" si="15"/>
        <v>0</v>
      </c>
      <c r="I284" s="51"/>
    </row>
    <row r="285" spans="1:9" ht="12.75">
      <c r="A285" s="227"/>
      <c r="B285" s="51" t="s">
        <v>314</v>
      </c>
      <c r="C285" s="215" t="s">
        <v>326</v>
      </c>
      <c r="D285" s="215">
        <v>35.4</v>
      </c>
      <c r="E285" s="215">
        <v>1</v>
      </c>
      <c r="F285" s="215">
        <v>2.75</v>
      </c>
      <c r="G285" s="260">
        <f t="shared" si="14"/>
        <v>97.35</v>
      </c>
      <c r="H285" s="219">
        <f t="shared" si="15"/>
        <v>1436.0918665236659</v>
      </c>
      <c r="I285" s="51"/>
    </row>
    <row r="286" spans="1:9" ht="12.75">
      <c r="A286" s="227"/>
      <c r="B286" s="51" t="s">
        <v>607</v>
      </c>
      <c r="C286" s="215"/>
      <c r="D286" s="215"/>
      <c r="E286" s="215"/>
      <c r="F286" s="215"/>
      <c r="G286" s="260">
        <f t="shared" si="14"/>
        <v>0</v>
      </c>
      <c r="H286" s="219">
        <f t="shared" si="15"/>
        <v>0</v>
      </c>
      <c r="I286" s="51"/>
    </row>
    <row r="287" spans="1:9" ht="12.75">
      <c r="A287" s="227"/>
      <c r="B287" s="47" t="s">
        <v>316</v>
      </c>
      <c r="C287" s="215"/>
      <c r="D287" s="215"/>
      <c r="E287" s="215"/>
      <c r="F287" s="215"/>
      <c r="G287" s="260">
        <f t="shared" si="14"/>
        <v>0</v>
      </c>
      <c r="H287" s="219">
        <f t="shared" si="15"/>
        <v>0</v>
      </c>
      <c r="I287" s="51"/>
    </row>
    <row r="288" spans="1:9" ht="12.75">
      <c r="A288" s="227"/>
      <c r="B288" s="51" t="s">
        <v>314</v>
      </c>
      <c r="C288" s="215" t="s">
        <v>327</v>
      </c>
      <c r="D288" s="215">
        <v>31</v>
      </c>
      <c r="E288" s="215">
        <v>12</v>
      </c>
      <c r="F288" s="215">
        <v>0.49</v>
      </c>
      <c r="G288" s="260">
        <f t="shared" si="14"/>
        <v>182.28</v>
      </c>
      <c r="H288" s="219">
        <f t="shared" si="15"/>
        <v>2688.965849305946</v>
      </c>
      <c r="I288" s="51"/>
    </row>
    <row r="289" spans="1:9" ht="12.75">
      <c r="A289" s="227"/>
      <c r="B289" s="51" t="s">
        <v>317</v>
      </c>
      <c r="C289" s="215"/>
      <c r="D289" s="215"/>
      <c r="E289" s="215"/>
      <c r="F289" s="215"/>
      <c r="G289" s="260">
        <f t="shared" si="14"/>
        <v>0</v>
      </c>
      <c r="H289" s="219">
        <f t="shared" si="15"/>
        <v>0</v>
      </c>
      <c r="I289" s="51"/>
    </row>
    <row r="290" spans="1:10" ht="12.75">
      <c r="A290" s="227"/>
      <c r="B290" s="51" t="s">
        <v>533</v>
      </c>
      <c r="C290" s="215"/>
      <c r="D290" s="215"/>
      <c r="E290" s="215"/>
      <c r="F290" s="215"/>
      <c r="G290" s="260">
        <f t="shared" si="14"/>
        <v>0</v>
      </c>
      <c r="H290" s="219">
        <f t="shared" si="15"/>
        <v>0</v>
      </c>
      <c r="I290" s="51"/>
      <c r="J290" s="188"/>
    </row>
    <row r="291" spans="1:10" ht="12.75">
      <c r="A291" s="227"/>
      <c r="B291" s="47" t="s">
        <v>320</v>
      </c>
      <c r="C291" s="215" t="s">
        <v>328</v>
      </c>
      <c r="D291" s="215">
        <v>31</v>
      </c>
      <c r="E291" s="215">
        <v>12</v>
      </c>
      <c r="F291" s="215">
        <v>0.42</v>
      </c>
      <c r="G291" s="260">
        <f t="shared" si="14"/>
        <v>156.23999999999998</v>
      </c>
      <c r="H291" s="219">
        <f t="shared" si="15"/>
        <v>2304.827870833668</v>
      </c>
      <c r="I291" s="51"/>
      <c r="J291" s="188"/>
    </row>
    <row r="292" spans="1:10" ht="12.75">
      <c r="A292" s="227"/>
      <c r="B292" s="51" t="s">
        <v>534</v>
      </c>
      <c r="C292" s="215"/>
      <c r="D292" s="215"/>
      <c r="E292" s="215"/>
      <c r="F292" s="215"/>
      <c r="G292" s="260">
        <f t="shared" si="14"/>
        <v>0</v>
      </c>
      <c r="H292" s="219">
        <f t="shared" si="15"/>
        <v>0</v>
      </c>
      <c r="I292" s="51"/>
      <c r="J292" s="188"/>
    </row>
    <row r="293" spans="1:10" ht="12.75">
      <c r="A293" s="227"/>
      <c r="B293" s="51" t="s">
        <v>600</v>
      </c>
      <c r="C293" s="215" t="s">
        <v>329</v>
      </c>
      <c r="D293" s="215">
        <v>35.4</v>
      </c>
      <c r="E293" s="215">
        <v>96</v>
      </c>
      <c r="F293" s="215">
        <v>0.27</v>
      </c>
      <c r="G293" s="260">
        <f t="shared" si="14"/>
        <v>917.568</v>
      </c>
      <c r="H293" s="219">
        <f t="shared" si="15"/>
        <v>13535.81861101579</v>
      </c>
      <c r="I293" s="51"/>
      <c r="J293" s="188"/>
    </row>
    <row r="294" spans="1:10" ht="13.5" customHeight="1">
      <c r="A294" s="227"/>
      <c r="B294" s="51" t="s">
        <v>153</v>
      </c>
      <c r="C294" s="215" t="s">
        <v>61</v>
      </c>
      <c r="D294" s="215">
        <v>64</v>
      </c>
      <c r="E294" s="215">
        <v>1</v>
      </c>
      <c r="F294" s="215">
        <v>1</v>
      </c>
      <c r="G294" s="260">
        <f>D294*E294</f>
        <v>64</v>
      </c>
      <c r="H294" s="219">
        <f t="shared" si="15"/>
        <v>944.1179194403146</v>
      </c>
      <c r="I294" s="51"/>
      <c r="J294" s="190"/>
    </row>
    <row r="295" spans="1:10" ht="15">
      <c r="A295" s="227"/>
      <c r="B295" s="47" t="s">
        <v>599</v>
      </c>
      <c r="C295" s="215"/>
      <c r="D295" s="215"/>
      <c r="E295" s="215"/>
      <c r="F295" s="215"/>
      <c r="G295" s="332">
        <f>SUM(G272:G294)</f>
        <v>3595.638</v>
      </c>
      <c r="H295" s="206">
        <f>SUM(H272:H294)</f>
        <v>53042.28543157085</v>
      </c>
      <c r="I295" s="51"/>
      <c r="J295" s="190"/>
    </row>
    <row r="296" spans="1:10" ht="12.75">
      <c r="A296" s="227">
        <v>3</v>
      </c>
      <c r="B296" s="208" t="s">
        <v>507</v>
      </c>
      <c r="C296" s="215"/>
      <c r="D296" s="215"/>
      <c r="E296" s="215"/>
      <c r="F296" s="215"/>
      <c r="G296" s="260"/>
      <c r="H296" s="218"/>
      <c r="I296" s="51"/>
      <c r="J296" s="188"/>
    </row>
    <row r="297" spans="1:10" ht="12.75">
      <c r="A297" s="227"/>
      <c r="B297" s="256" t="s">
        <v>454</v>
      </c>
      <c r="C297" s="215" t="s">
        <v>476</v>
      </c>
      <c r="D297" s="215">
        <f>2001-212-180-48</f>
        <v>1561</v>
      </c>
      <c r="E297" s="215">
        <v>1</v>
      </c>
      <c r="F297" s="215">
        <v>1</v>
      </c>
      <c r="G297" s="215">
        <f>2001-212-180-48</f>
        <v>1561</v>
      </c>
      <c r="H297" s="219">
        <f>76778/5204.638*G297</f>
        <v>23027.626128848922</v>
      </c>
      <c r="I297" s="51"/>
      <c r="J297" s="188"/>
    </row>
    <row r="298" spans="1:10" ht="12.75">
      <c r="A298" s="227"/>
      <c r="B298" s="51" t="s">
        <v>463</v>
      </c>
      <c r="C298" s="215" t="s">
        <v>476</v>
      </c>
      <c r="D298" s="260">
        <f>2*8*3</f>
        <v>48</v>
      </c>
      <c r="E298" s="215">
        <v>1</v>
      </c>
      <c r="F298" s="215">
        <v>1</v>
      </c>
      <c r="G298" s="260">
        <f>2*8*3</f>
        <v>48</v>
      </c>
      <c r="H298" s="219">
        <f>76778/5204.638*G298</f>
        <v>708.0884395802359</v>
      </c>
      <c r="I298" s="51"/>
      <c r="J298" s="198"/>
    </row>
    <row r="299" spans="1:10" ht="12.75">
      <c r="A299" s="227"/>
      <c r="B299" s="47" t="s">
        <v>413</v>
      </c>
      <c r="C299" s="215"/>
      <c r="D299" s="260"/>
      <c r="E299" s="215"/>
      <c r="F299" s="215"/>
      <c r="G299" s="207">
        <f>SUM(G297:G298)</f>
        <v>1609</v>
      </c>
      <c r="H299" s="218">
        <f>SUM(H297:H298)</f>
        <v>23735.714568429157</v>
      </c>
      <c r="I299" s="51"/>
      <c r="J299" s="188"/>
    </row>
    <row r="300" spans="1:10" ht="18" customHeight="1">
      <c r="A300" s="341"/>
      <c r="B300" s="2" t="s">
        <v>664</v>
      </c>
      <c r="C300" s="258"/>
      <c r="D300" s="257"/>
      <c r="E300" s="258"/>
      <c r="F300" s="258"/>
      <c r="G300" s="332">
        <f>G295+G299</f>
        <v>5204.638</v>
      </c>
      <c r="H300" s="213">
        <f>H295+H299+H270</f>
        <v>347231</v>
      </c>
      <c r="I300" s="51"/>
      <c r="J300" s="188"/>
    </row>
    <row r="301" spans="1:10" ht="14.25" customHeight="1">
      <c r="A301" s="227"/>
      <c r="B301" s="266" t="s">
        <v>601</v>
      </c>
      <c r="C301" s="215" t="s">
        <v>61</v>
      </c>
      <c r="D301" s="215">
        <v>4725</v>
      </c>
      <c r="E301" s="215">
        <v>1</v>
      </c>
      <c r="F301" s="215">
        <v>1</v>
      </c>
      <c r="G301" s="260">
        <f>D301*E301</f>
        <v>4725</v>
      </c>
      <c r="H301" s="219">
        <f>126609+34137+12552+22000</f>
        <v>195298</v>
      </c>
      <c r="I301" s="231" t="s">
        <v>617</v>
      </c>
      <c r="J301" s="190"/>
    </row>
    <row r="302" spans="1:10" ht="15">
      <c r="A302" s="227"/>
      <c r="B302" s="93" t="s">
        <v>526</v>
      </c>
      <c r="C302" s="215"/>
      <c r="D302" s="260"/>
      <c r="E302" s="215"/>
      <c r="F302" s="215"/>
      <c r="G302" s="332">
        <f>G295+G299</f>
        <v>5204.638</v>
      </c>
      <c r="H302" s="206">
        <f>H300+H301</f>
        <v>542529</v>
      </c>
      <c r="I302" s="342"/>
      <c r="J302" s="198"/>
    </row>
    <row r="303" spans="1:9" ht="12.75">
      <c r="A303" s="227">
        <v>4</v>
      </c>
      <c r="B303" s="256" t="s">
        <v>547</v>
      </c>
      <c r="C303" s="215"/>
      <c r="D303" s="205"/>
      <c r="E303" s="215"/>
      <c r="F303" s="215"/>
      <c r="G303" s="51"/>
      <c r="H303" s="255">
        <f>5000+1500</f>
        <v>6500</v>
      </c>
      <c r="I303" s="51"/>
    </row>
    <row r="304" spans="1:10" ht="15">
      <c r="A304" s="227">
        <v>5</v>
      </c>
      <c r="B304" s="2" t="s">
        <v>502</v>
      </c>
      <c r="C304" s="258"/>
      <c r="D304" s="257"/>
      <c r="E304" s="258"/>
      <c r="F304" s="258"/>
      <c r="G304" s="257"/>
      <c r="H304" s="213">
        <v>96000</v>
      </c>
      <c r="I304" s="51" t="s">
        <v>63</v>
      </c>
      <c r="J304" s="186"/>
    </row>
    <row r="305" spans="1:9" ht="15">
      <c r="A305" s="227"/>
      <c r="B305" s="86" t="s">
        <v>219</v>
      </c>
      <c r="C305" s="247"/>
      <c r="D305" s="247"/>
      <c r="E305" s="231"/>
      <c r="F305" s="231"/>
      <c r="G305" s="245"/>
      <c r="H305" s="254">
        <f>H302+H303+H304</f>
        <v>645029</v>
      </c>
      <c r="I305" s="51"/>
    </row>
    <row r="306" spans="1:9" ht="12.75">
      <c r="A306" s="421" t="s">
        <v>123</v>
      </c>
      <c r="B306" s="422"/>
      <c r="C306" s="422"/>
      <c r="D306" s="422"/>
      <c r="E306" s="422"/>
      <c r="F306" s="422"/>
      <c r="G306" s="422"/>
      <c r="H306" s="422"/>
      <c r="I306" s="51"/>
    </row>
    <row r="307" spans="1:9" ht="12.75">
      <c r="A307" s="401" t="s">
        <v>23</v>
      </c>
      <c r="B307" s="395"/>
      <c r="C307" s="395"/>
      <c r="D307" s="395"/>
      <c r="E307" s="395"/>
      <c r="F307" s="395"/>
      <c r="G307" s="395"/>
      <c r="H307" s="395"/>
      <c r="I307" s="51"/>
    </row>
    <row r="308" spans="1:9" ht="12.75">
      <c r="A308" s="253">
        <v>1</v>
      </c>
      <c r="B308" s="253" t="s">
        <v>561</v>
      </c>
      <c r="C308" s="205"/>
      <c r="D308" s="205"/>
      <c r="E308" s="205"/>
      <c r="F308" s="205"/>
      <c r="G308" s="205"/>
      <c r="H308" s="205"/>
      <c r="I308" s="51"/>
    </row>
    <row r="309" spans="1:9" ht="12.75">
      <c r="A309" s="215">
        <v>1</v>
      </c>
      <c r="B309" s="251" t="s">
        <v>155</v>
      </c>
      <c r="C309" s="215" t="s">
        <v>73</v>
      </c>
      <c r="D309" s="215">
        <v>29</v>
      </c>
      <c r="E309" s="215"/>
      <c r="F309" s="215"/>
      <c r="G309" s="215"/>
      <c r="H309" s="223"/>
      <c r="I309" s="51"/>
    </row>
    <row r="310" spans="1:9" ht="12.75">
      <c r="A310" s="215">
        <v>2</v>
      </c>
      <c r="B310" s="251" t="s">
        <v>156</v>
      </c>
      <c r="C310" s="215" t="s">
        <v>73</v>
      </c>
      <c r="D310" s="223">
        <v>29</v>
      </c>
      <c r="E310" s="215"/>
      <c r="F310" s="215"/>
      <c r="G310" s="215"/>
      <c r="H310" s="223"/>
      <c r="I310" s="51"/>
    </row>
    <row r="311" spans="1:9" ht="12.75">
      <c r="A311" s="215">
        <v>3</v>
      </c>
      <c r="B311" s="251" t="s">
        <v>157</v>
      </c>
      <c r="C311" s="215" t="s">
        <v>80</v>
      </c>
      <c r="D311" s="223">
        <v>6</v>
      </c>
      <c r="E311" s="215"/>
      <c r="F311" s="215"/>
      <c r="G311" s="215"/>
      <c r="H311" s="223"/>
      <c r="I311" s="51"/>
    </row>
    <row r="312" spans="1:9" ht="12.75">
      <c r="A312" s="215">
        <v>4</v>
      </c>
      <c r="B312" s="251" t="s">
        <v>158</v>
      </c>
      <c r="C312" s="215" t="s">
        <v>73</v>
      </c>
      <c r="D312" s="223">
        <v>313.68</v>
      </c>
      <c r="E312" s="215"/>
      <c r="F312" s="215"/>
      <c r="G312" s="215"/>
      <c r="H312" s="223"/>
      <c r="I312" s="51"/>
    </row>
    <row r="313" spans="1:9" ht="12.75">
      <c r="A313" s="215">
        <v>5</v>
      </c>
      <c r="B313" s="251" t="s">
        <v>159</v>
      </c>
      <c r="C313" s="215" t="s">
        <v>73</v>
      </c>
      <c r="D313" s="223">
        <v>279.56</v>
      </c>
      <c r="E313" s="215"/>
      <c r="F313" s="215"/>
      <c r="G313" s="215"/>
      <c r="H313" s="223"/>
      <c r="I313" s="51"/>
    </row>
    <row r="314" spans="1:9" ht="12.75">
      <c r="A314" s="215">
        <v>6</v>
      </c>
      <c r="B314" s="251" t="s">
        <v>160</v>
      </c>
      <c r="C314" s="215" t="s">
        <v>73</v>
      </c>
      <c r="D314" s="223">
        <v>79</v>
      </c>
      <c r="E314" s="215"/>
      <c r="F314" s="215"/>
      <c r="G314" s="215"/>
      <c r="H314" s="223"/>
      <c r="I314" s="51"/>
    </row>
    <row r="315" spans="1:9" ht="12.75">
      <c r="A315" s="215">
        <v>7</v>
      </c>
      <c r="B315" s="251" t="s">
        <v>161</v>
      </c>
      <c r="C315" s="215" t="s">
        <v>162</v>
      </c>
      <c r="D315" s="223">
        <v>200</v>
      </c>
      <c r="E315" s="215"/>
      <c r="F315" s="215"/>
      <c r="G315" s="215"/>
      <c r="H315" s="223"/>
      <c r="I315" s="51"/>
    </row>
    <row r="316" spans="1:9" ht="12.75">
      <c r="A316" s="215">
        <v>8</v>
      </c>
      <c r="B316" s="251" t="s">
        <v>163</v>
      </c>
      <c r="C316" s="215" t="s">
        <v>73</v>
      </c>
      <c r="D316" s="223">
        <v>21.36</v>
      </c>
      <c r="E316" s="215"/>
      <c r="F316" s="215"/>
      <c r="G316" s="215"/>
      <c r="H316" s="223"/>
      <c r="I316" s="51"/>
    </row>
    <row r="317" spans="1:9" ht="12.75">
      <c r="A317" s="215">
        <v>9</v>
      </c>
      <c r="B317" s="251" t="s">
        <v>164</v>
      </c>
      <c r="C317" s="215"/>
      <c r="D317" s="223"/>
      <c r="E317" s="215"/>
      <c r="F317" s="215"/>
      <c r="G317" s="215"/>
      <c r="H317" s="223"/>
      <c r="I317" s="51"/>
    </row>
    <row r="318" spans="1:9" ht="12.75">
      <c r="A318" s="215">
        <v>10</v>
      </c>
      <c r="B318" s="251" t="s">
        <v>588</v>
      </c>
      <c r="C318" s="215"/>
      <c r="D318" s="223"/>
      <c r="E318" s="215"/>
      <c r="F318" s="215"/>
      <c r="G318" s="215"/>
      <c r="H318" s="223"/>
      <c r="I318" s="51"/>
    </row>
    <row r="319" spans="1:9" ht="12.75">
      <c r="A319" s="215">
        <v>11</v>
      </c>
      <c r="B319" s="251" t="s">
        <v>166</v>
      </c>
      <c r="C319" s="215"/>
      <c r="D319" s="223"/>
      <c r="E319" s="215"/>
      <c r="F319" s="215"/>
      <c r="G319" s="215"/>
      <c r="H319" s="223"/>
      <c r="I319" s="51"/>
    </row>
    <row r="320" spans="1:9" ht="12.75">
      <c r="A320" s="215"/>
      <c r="B320" s="236" t="s">
        <v>413</v>
      </c>
      <c r="C320" s="215"/>
      <c r="D320" s="223"/>
      <c r="E320" s="215"/>
      <c r="F320" s="215"/>
      <c r="G320" s="215"/>
      <c r="H320" s="219">
        <f>95528-H322</f>
        <v>57599</v>
      </c>
      <c r="I320" s="51"/>
    </row>
    <row r="321" spans="1:9" ht="12.75">
      <c r="A321" s="247">
        <v>12</v>
      </c>
      <c r="B321" s="93" t="s">
        <v>506</v>
      </c>
      <c r="C321" s="215"/>
      <c r="D321" s="223"/>
      <c r="E321" s="215"/>
      <c r="F321" s="215"/>
      <c r="G321" s="215"/>
      <c r="H321" s="245"/>
      <c r="I321" s="250"/>
    </row>
    <row r="322" spans="1:9" ht="15.75" customHeight="1">
      <c r="A322" s="247"/>
      <c r="B322" s="251" t="s">
        <v>606</v>
      </c>
      <c r="C322" s="215" t="s">
        <v>476</v>
      </c>
      <c r="D322" s="223">
        <v>912</v>
      </c>
      <c r="E322" s="215">
        <v>1</v>
      </c>
      <c r="F322" s="215">
        <v>1</v>
      </c>
      <c r="G322" s="215">
        <v>912</v>
      </c>
      <c r="H322" s="245">
        <f>11429+4202+15895+6403</f>
        <v>37929</v>
      </c>
      <c r="I322" s="250"/>
    </row>
    <row r="323" spans="1:9" ht="12.75">
      <c r="A323" s="247"/>
      <c r="B323" s="248" t="s">
        <v>659</v>
      </c>
      <c r="C323" s="247"/>
      <c r="D323" s="246"/>
      <c r="E323" s="210"/>
      <c r="F323" s="231"/>
      <c r="G323" s="252"/>
      <c r="H323" s="245">
        <v>58645</v>
      </c>
      <c r="I323" s="248" t="s">
        <v>658</v>
      </c>
    </row>
    <row r="324" spans="1:10" ht="16.5" customHeight="1">
      <c r="A324" s="247"/>
      <c r="B324" s="345" t="s">
        <v>527</v>
      </c>
      <c r="C324" s="258"/>
      <c r="D324" s="346"/>
      <c r="E324" s="258"/>
      <c r="F324" s="258"/>
      <c r="G324" s="259"/>
      <c r="H324" s="347">
        <f>H320+H322+H323</f>
        <v>154173</v>
      </c>
      <c r="I324" s="250"/>
      <c r="J324" s="186"/>
    </row>
    <row r="325" spans="1:9" ht="12.75">
      <c r="A325" s="421" t="s">
        <v>124</v>
      </c>
      <c r="B325" s="422"/>
      <c r="C325" s="422"/>
      <c r="D325" s="422"/>
      <c r="E325" s="422"/>
      <c r="F325" s="422"/>
      <c r="G325" s="422"/>
      <c r="H325" s="422"/>
      <c r="I325" s="51"/>
    </row>
    <row r="326" spans="1:9" ht="12.75">
      <c r="A326" s="421" t="s">
        <v>22</v>
      </c>
      <c r="B326" s="422"/>
      <c r="C326" s="422"/>
      <c r="D326" s="422"/>
      <c r="E326" s="422"/>
      <c r="F326" s="422"/>
      <c r="G326" s="422"/>
      <c r="H326" s="422"/>
      <c r="I326" s="51"/>
    </row>
    <row r="327" spans="1:9" ht="12.75">
      <c r="A327" s="212">
        <v>1</v>
      </c>
      <c r="B327" s="47" t="s">
        <v>169</v>
      </c>
      <c r="C327" s="212"/>
      <c r="D327" s="212"/>
      <c r="E327" s="224"/>
      <c r="F327" s="215"/>
      <c r="G327" s="215"/>
      <c r="H327" s="223"/>
      <c r="I327" s="215"/>
    </row>
    <row r="328" spans="1:9" ht="12.75">
      <c r="A328" s="212"/>
      <c r="B328" s="51" t="s">
        <v>583</v>
      </c>
      <c r="C328" s="212" t="s">
        <v>53</v>
      </c>
      <c r="D328" s="212">
        <v>36</v>
      </c>
      <c r="E328" s="224">
        <v>32</v>
      </c>
      <c r="F328" s="215">
        <v>0.162</v>
      </c>
      <c r="G328" s="260">
        <f aca="true" t="shared" si="16" ref="G328:G333">D328*E328*F328</f>
        <v>186.624</v>
      </c>
      <c r="H328" s="219">
        <f aca="true" t="shared" si="17" ref="H328:H333">94696/10957.043*G328</f>
        <v>1612.8937619392384</v>
      </c>
      <c r="I328" s="215"/>
    </row>
    <row r="329" spans="1:9" ht="12.75">
      <c r="A329" s="212"/>
      <c r="B329" s="51" t="s">
        <v>202</v>
      </c>
      <c r="C329" s="212" t="s">
        <v>203</v>
      </c>
      <c r="D329" s="212">
        <v>50</v>
      </c>
      <c r="E329" s="224">
        <v>4</v>
      </c>
      <c r="F329" s="215">
        <v>0.35</v>
      </c>
      <c r="G329" s="260">
        <f t="shared" si="16"/>
        <v>70</v>
      </c>
      <c r="H329" s="219">
        <f t="shared" si="17"/>
        <v>604.9734403707278</v>
      </c>
      <c r="I329" s="215"/>
    </row>
    <row r="330" spans="1:9" ht="12.75">
      <c r="A330" s="212"/>
      <c r="B330" s="51" t="s">
        <v>584</v>
      </c>
      <c r="C330" s="212" t="s">
        <v>53</v>
      </c>
      <c r="D330" s="212">
        <v>20</v>
      </c>
      <c r="E330" s="224">
        <v>8</v>
      </c>
      <c r="F330" s="215">
        <v>6.25</v>
      </c>
      <c r="G330" s="260">
        <f t="shared" si="16"/>
        <v>1000</v>
      </c>
      <c r="H330" s="219">
        <f t="shared" si="17"/>
        <v>8642.477719581824</v>
      </c>
      <c r="I330" s="215"/>
    </row>
    <row r="331" spans="1:9" ht="12.75">
      <c r="A331" s="212"/>
      <c r="B331" s="51" t="s">
        <v>585</v>
      </c>
      <c r="C331" s="212" t="s">
        <v>53</v>
      </c>
      <c r="D331" s="212">
        <v>677.28</v>
      </c>
      <c r="E331" s="224">
        <v>32</v>
      </c>
      <c r="F331" s="215">
        <v>0.03</v>
      </c>
      <c r="G331" s="260">
        <f t="shared" si="16"/>
        <v>650.1887999999999</v>
      </c>
      <c r="H331" s="219">
        <f t="shared" si="17"/>
        <v>5619.2422175216425</v>
      </c>
      <c r="I331" s="215"/>
    </row>
    <row r="332" spans="1:9" ht="12.75">
      <c r="A332" s="212"/>
      <c r="B332" s="51" t="s">
        <v>172</v>
      </c>
      <c r="C332" s="212" t="s">
        <v>73</v>
      </c>
      <c r="D332" s="212">
        <v>31950</v>
      </c>
      <c r="E332" s="212">
        <v>2</v>
      </c>
      <c r="F332" s="212">
        <v>0.043</v>
      </c>
      <c r="G332" s="221">
        <f t="shared" si="16"/>
        <v>2747.7</v>
      </c>
      <c r="H332" s="219">
        <f t="shared" si="17"/>
        <v>23746.936030094977</v>
      </c>
      <c r="I332" s="215"/>
    </row>
    <row r="333" spans="1:9" ht="12.75">
      <c r="A333" s="212"/>
      <c r="B333" s="51" t="s">
        <v>170</v>
      </c>
      <c r="C333" s="212" t="s">
        <v>135</v>
      </c>
      <c r="D333" s="212">
        <v>2</v>
      </c>
      <c r="E333" s="212">
        <v>8</v>
      </c>
      <c r="F333" s="212">
        <v>1.63</v>
      </c>
      <c r="G333" s="221">
        <f t="shared" si="16"/>
        <v>26.08</v>
      </c>
      <c r="H333" s="219">
        <f t="shared" si="17"/>
        <v>225.39581892669398</v>
      </c>
      <c r="I333" s="215"/>
    </row>
    <row r="334" spans="1:9" ht="12.75">
      <c r="A334" s="212"/>
      <c r="B334" s="47" t="s">
        <v>528</v>
      </c>
      <c r="C334" s="212"/>
      <c r="D334" s="212"/>
      <c r="E334" s="212"/>
      <c r="F334" s="212"/>
      <c r="G334" s="234">
        <f>SUM(G328:G333)</f>
        <v>4680.592799999999</v>
      </c>
      <c r="H334" s="218">
        <f>SUM(H328:H333)</f>
        <v>40451.9189884351</v>
      </c>
      <c r="I334" s="215"/>
    </row>
    <row r="335" spans="1:9" ht="12.75">
      <c r="A335" s="421" t="s">
        <v>125</v>
      </c>
      <c r="B335" s="422"/>
      <c r="C335" s="422"/>
      <c r="D335" s="422"/>
      <c r="E335" s="422"/>
      <c r="F335" s="422"/>
      <c r="G335" s="422"/>
      <c r="H335" s="422"/>
      <c r="I335" s="51"/>
    </row>
    <row r="336" spans="1:9" ht="12.75">
      <c r="A336" s="421" t="s">
        <v>24</v>
      </c>
      <c r="B336" s="422"/>
      <c r="C336" s="422"/>
      <c r="D336" s="422"/>
      <c r="E336" s="422"/>
      <c r="F336" s="422"/>
      <c r="G336" s="422"/>
      <c r="H336" s="422"/>
      <c r="I336" s="51"/>
    </row>
    <row r="337" spans="1:9" ht="12.75">
      <c r="A337" s="212">
        <v>1</v>
      </c>
      <c r="B337" s="47" t="s">
        <v>173</v>
      </c>
      <c r="C337" s="51"/>
      <c r="D337" s="212"/>
      <c r="E337" s="224"/>
      <c r="F337" s="215"/>
      <c r="G337" s="215"/>
      <c r="H337" s="219"/>
      <c r="I337" s="51"/>
    </row>
    <row r="338" spans="1:9" ht="12.75">
      <c r="A338" s="212"/>
      <c r="B338" s="51" t="s">
        <v>174</v>
      </c>
      <c r="C338" s="212" t="s">
        <v>53</v>
      </c>
      <c r="D338" s="212">
        <v>28.73</v>
      </c>
      <c r="E338" s="243">
        <v>64</v>
      </c>
      <c r="F338" s="243">
        <v>0.162</v>
      </c>
      <c r="G338" s="221">
        <f aca="true" t="shared" si="18" ref="G338:G345">D338*E338*F338</f>
        <v>297.87264</v>
      </c>
      <c r="H338" s="219">
        <f aca="true" t="shared" si="19" ref="H338:H345">94696/10957.043*G338</f>
        <v>2574.3576544730176</v>
      </c>
      <c r="I338" s="51"/>
    </row>
    <row r="339" spans="1:9" ht="12.75">
      <c r="A339" s="212"/>
      <c r="B339" s="51" t="s">
        <v>175</v>
      </c>
      <c r="C339" s="212" t="s">
        <v>53</v>
      </c>
      <c r="D339" s="212">
        <v>2.5</v>
      </c>
      <c r="E339" s="243">
        <v>3</v>
      </c>
      <c r="F339" s="243">
        <v>6.25</v>
      </c>
      <c r="G339" s="221">
        <f t="shared" si="18"/>
        <v>46.875</v>
      </c>
      <c r="H339" s="219">
        <f t="shared" si="19"/>
        <v>405.116143105398</v>
      </c>
      <c r="I339" s="51"/>
    </row>
    <row r="340" spans="1:9" ht="12.75">
      <c r="A340" s="212"/>
      <c r="B340" s="51" t="s">
        <v>176</v>
      </c>
      <c r="C340" s="212" t="s">
        <v>53</v>
      </c>
      <c r="D340" s="212">
        <v>28.73</v>
      </c>
      <c r="E340" s="243">
        <v>36</v>
      </c>
      <c r="F340" s="243">
        <v>0.214</v>
      </c>
      <c r="G340" s="221">
        <f t="shared" si="18"/>
        <v>221.33592</v>
      </c>
      <c r="H340" s="219">
        <f t="shared" si="19"/>
        <v>1912.890757143145</v>
      </c>
      <c r="I340" s="51"/>
    </row>
    <row r="341" spans="1:9" ht="12.75">
      <c r="A341" s="212"/>
      <c r="B341" s="51" t="s">
        <v>177</v>
      </c>
      <c r="C341" s="212" t="s">
        <v>53</v>
      </c>
      <c r="D341" s="212">
        <v>28.73</v>
      </c>
      <c r="E341" s="243">
        <v>24</v>
      </c>
      <c r="F341" s="243">
        <v>1.43</v>
      </c>
      <c r="G341" s="221">
        <f t="shared" si="18"/>
        <v>986.0135999999999</v>
      </c>
      <c r="H341" s="219">
        <f t="shared" si="19"/>
        <v>8521.600569204664</v>
      </c>
      <c r="I341" s="51"/>
    </row>
    <row r="342" spans="1:9" ht="12.75">
      <c r="A342" s="212"/>
      <c r="B342" s="51" t="s">
        <v>178</v>
      </c>
      <c r="C342" s="212" t="s">
        <v>73</v>
      </c>
      <c r="D342" s="212">
        <v>1900</v>
      </c>
      <c r="E342" s="243">
        <v>6</v>
      </c>
      <c r="F342" s="243">
        <v>0.05</v>
      </c>
      <c r="G342" s="221">
        <f t="shared" si="18"/>
        <v>570</v>
      </c>
      <c r="H342" s="219">
        <f t="shared" si="19"/>
        <v>4926.21230016164</v>
      </c>
      <c r="I342" s="51"/>
    </row>
    <row r="343" spans="1:9" ht="12.75">
      <c r="A343" s="212"/>
      <c r="B343" s="51" t="s">
        <v>170</v>
      </c>
      <c r="C343" s="212" t="s">
        <v>179</v>
      </c>
      <c r="D343" s="212">
        <v>3</v>
      </c>
      <c r="E343" s="243">
        <v>6</v>
      </c>
      <c r="F343" s="243">
        <v>1.63</v>
      </c>
      <c r="G343" s="221">
        <f t="shared" si="18"/>
        <v>29.339999999999996</v>
      </c>
      <c r="H343" s="219">
        <f t="shared" si="19"/>
        <v>253.5702962925307</v>
      </c>
      <c r="I343" s="51"/>
    </row>
    <row r="344" spans="1:9" ht="12.75">
      <c r="A344" s="212"/>
      <c r="B344" s="51" t="s">
        <v>180</v>
      </c>
      <c r="C344" s="212" t="s">
        <v>53</v>
      </c>
      <c r="D344" s="212">
        <v>28.73</v>
      </c>
      <c r="E344" s="243">
        <v>24</v>
      </c>
      <c r="F344" s="243">
        <v>0.24</v>
      </c>
      <c r="G344" s="221">
        <f t="shared" si="18"/>
        <v>165.48479999999998</v>
      </c>
      <c r="H344" s="219">
        <f t="shared" si="19"/>
        <v>1430.1986969294542</v>
      </c>
      <c r="I344" s="51"/>
    </row>
    <row r="345" spans="1:9" ht="12.75">
      <c r="A345" s="212"/>
      <c r="B345" s="51" t="s">
        <v>181</v>
      </c>
      <c r="C345" s="212" t="s">
        <v>71</v>
      </c>
      <c r="D345" s="212">
        <v>6</v>
      </c>
      <c r="E345" s="243">
        <v>96</v>
      </c>
      <c r="F345" s="243">
        <v>0.125</v>
      </c>
      <c r="G345" s="221">
        <f t="shared" si="18"/>
        <v>72</v>
      </c>
      <c r="H345" s="219">
        <f t="shared" si="19"/>
        <v>622.2583958098913</v>
      </c>
      <c r="I345" s="51"/>
    </row>
    <row r="346" spans="1:9" ht="12.75">
      <c r="A346" s="212"/>
      <c r="B346" s="47" t="s">
        <v>528</v>
      </c>
      <c r="C346" s="208"/>
      <c r="D346" s="208"/>
      <c r="E346" s="208"/>
      <c r="F346" s="208"/>
      <c r="G346" s="234">
        <f>SUM(G338:G345)</f>
        <v>2388.92196</v>
      </c>
      <c r="H346" s="218">
        <f>SUM(H338:H345)</f>
        <v>20646.204813119744</v>
      </c>
      <c r="I346" s="51"/>
    </row>
    <row r="347" spans="1:9" ht="25.5">
      <c r="A347" s="215">
        <v>2</v>
      </c>
      <c r="B347" s="86" t="s">
        <v>425</v>
      </c>
      <c r="C347" s="212"/>
      <c r="D347" s="212"/>
      <c r="E347" s="210"/>
      <c r="F347" s="205"/>
      <c r="G347" s="205"/>
      <c r="H347" s="233">
        <v>40430</v>
      </c>
      <c r="I347" s="205" t="s">
        <v>63</v>
      </c>
    </row>
    <row r="348" spans="1:9" ht="12.75">
      <c r="A348" s="421" t="s">
        <v>126</v>
      </c>
      <c r="B348" s="422"/>
      <c r="C348" s="422"/>
      <c r="D348" s="422"/>
      <c r="E348" s="422"/>
      <c r="F348" s="422"/>
      <c r="G348" s="422"/>
      <c r="H348" s="422"/>
      <c r="I348" s="244"/>
    </row>
    <row r="349" spans="1:9" ht="12.75">
      <c r="A349" s="205">
        <v>1</v>
      </c>
      <c r="B349" s="47" t="s">
        <v>183</v>
      </c>
      <c r="C349" s="212"/>
      <c r="D349" s="212"/>
      <c r="E349" s="205"/>
      <c r="F349" s="205"/>
      <c r="G349" s="205"/>
      <c r="H349" s="235"/>
      <c r="I349" s="51"/>
    </row>
    <row r="350" spans="1:9" ht="12.75">
      <c r="A350" s="215"/>
      <c r="B350" s="51" t="s">
        <v>184</v>
      </c>
      <c r="C350" s="212" t="s">
        <v>53</v>
      </c>
      <c r="D350" s="212">
        <v>8.74</v>
      </c>
      <c r="E350" s="243">
        <v>80</v>
      </c>
      <c r="F350" s="243">
        <v>0.162</v>
      </c>
      <c r="G350" s="221">
        <f>D350*E350*F350</f>
        <v>113.27040000000001</v>
      </c>
      <c r="H350" s="219">
        <f>94696/10957.043*G350</f>
        <v>978.9369082881212</v>
      </c>
      <c r="I350" s="51"/>
    </row>
    <row r="351" spans="1:9" ht="12.75">
      <c r="A351" s="215"/>
      <c r="B351" s="51" t="s">
        <v>180</v>
      </c>
      <c r="C351" s="212" t="s">
        <v>53</v>
      </c>
      <c r="D351" s="212">
        <v>8.74</v>
      </c>
      <c r="E351" s="243">
        <v>24</v>
      </c>
      <c r="F351" s="243">
        <v>0.24</v>
      </c>
      <c r="G351" s="221">
        <f>D351*E351*F351</f>
        <v>50.3424</v>
      </c>
      <c r="H351" s="219">
        <f>94696/10957.043*G351</f>
        <v>435.08307035027605</v>
      </c>
      <c r="I351" s="51"/>
    </row>
    <row r="352" spans="1:9" ht="12.75">
      <c r="A352" s="215"/>
      <c r="B352" s="51" t="s">
        <v>185</v>
      </c>
      <c r="C352" s="212"/>
      <c r="D352" s="212"/>
      <c r="E352" s="243"/>
      <c r="F352" s="243"/>
      <c r="G352" s="221"/>
      <c r="H352" s="219">
        <f>94696/10957.043*G352</f>
        <v>0</v>
      </c>
      <c r="I352" s="51"/>
    </row>
    <row r="353" spans="1:9" ht="12.75">
      <c r="A353" s="215"/>
      <c r="B353" s="51" t="s">
        <v>186</v>
      </c>
      <c r="C353" s="212" t="s">
        <v>53</v>
      </c>
      <c r="D353" s="212">
        <v>8.74</v>
      </c>
      <c r="E353" s="243">
        <v>36</v>
      </c>
      <c r="F353" s="243">
        <v>0.214</v>
      </c>
      <c r="G353" s="221">
        <f>D353*E353*F353</f>
        <v>67.33296</v>
      </c>
      <c r="H353" s="219">
        <f>94696/10957.043*G353</f>
        <v>581.9236065934942</v>
      </c>
      <c r="I353" s="51"/>
    </row>
    <row r="354" spans="1:9" ht="12.75">
      <c r="A354" s="215"/>
      <c r="B354" s="51" t="s">
        <v>187</v>
      </c>
      <c r="C354" s="212" t="s">
        <v>53</v>
      </c>
      <c r="D354" s="212">
        <v>8.74</v>
      </c>
      <c r="E354" s="243">
        <v>12</v>
      </c>
      <c r="F354" s="243">
        <v>1.43</v>
      </c>
      <c r="G354" s="221">
        <f>D354*E354*F354</f>
        <v>149.9784</v>
      </c>
      <c r="H354" s="219">
        <f>94696/10957.043*G354</f>
        <v>1296.1849804185306</v>
      </c>
      <c r="I354" s="51"/>
    </row>
    <row r="355" spans="1:9" ht="12.75">
      <c r="A355" s="215"/>
      <c r="B355" s="47" t="s">
        <v>528</v>
      </c>
      <c r="C355" s="212"/>
      <c r="D355" s="212"/>
      <c r="E355" s="243"/>
      <c r="F355" s="243"/>
      <c r="G355" s="234">
        <f>SUM(G350:G354)</f>
        <v>380.92416000000003</v>
      </c>
      <c r="H355" s="218">
        <f>SUM(H350:H354)</f>
        <v>3292.1285656504224</v>
      </c>
      <c r="I355" s="51"/>
    </row>
    <row r="356" spans="1:9" ht="12.75">
      <c r="A356" s="215">
        <v>2</v>
      </c>
      <c r="B356" s="47" t="s">
        <v>188</v>
      </c>
      <c r="C356" s="212"/>
      <c r="D356" s="212"/>
      <c r="E356" s="224"/>
      <c r="F356" s="215"/>
      <c r="G356" s="221"/>
      <c r="H356" s="219"/>
      <c r="I356" s="51"/>
    </row>
    <row r="357" spans="1:9" ht="12.75">
      <c r="A357" s="215"/>
      <c r="B357" s="51" t="s">
        <v>330</v>
      </c>
      <c r="C357" s="212" t="s">
        <v>53</v>
      </c>
      <c r="D357" s="212">
        <v>97.15</v>
      </c>
      <c r="E357" s="243">
        <v>64</v>
      </c>
      <c r="F357" s="243">
        <v>0.091</v>
      </c>
      <c r="G357" s="221">
        <f aca="true" t="shared" si="20" ref="G357:G367">D357*E357*F357</f>
        <v>565.8016</v>
      </c>
      <c r="H357" s="219">
        <f aca="true" t="shared" si="21" ref="H357:H367">94696/10957.043*G357</f>
        <v>4889.927721703748</v>
      </c>
      <c r="I357" s="51"/>
    </row>
    <row r="358" spans="1:9" ht="12.75">
      <c r="A358" s="215"/>
      <c r="B358" s="51" t="s">
        <v>331</v>
      </c>
      <c r="C358" s="212" t="s">
        <v>53</v>
      </c>
      <c r="D358" s="212">
        <v>24.74</v>
      </c>
      <c r="E358" s="243">
        <v>64</v>
      </c>
      <c r="F358" s="243">
        <v>0.091</v>
      </c>
      <c r="G358" s="221">
        <f t="shared" si="20"/>
        <v>144.08576</v>
      </c>
      <c r="H358" s="219">
        <f t="shared" si="21"/>
        <v>1245.257970509014</v>
      </c>
      <c r="I358" s="51"/>
    </row>
    <row r="359" spans="1:9" ht="12.75">
      <c r="A359" s="215"/>
      <c r="B359" s="51" t="s">
        <v>332</v>
      </c>
      <c r="C359" s="212" t="s">
        <v>53</v>
      </c>
      <c r="D359" s="212">
        <v>329.98</v>
      </c>
      <c r="E359" s="243">
        <v>36</v>
      </c>
      <c r="F359" s="243">
        <v>0.03</v>
      </c>
      <c r="G359" s="221">
        <f t="shared" si="20"/>
        <v>356.3784</v>
      </c>
      <c r="H359" s="219">
        <f t="shared" si="21"/>
        <v>3079.9923817402196</v>
      </c>
      <c r="I359" s="51"/>
    </row>
    <row r="360" spans="1:9" ht="12.75">
      <c r="A360" s="215"/>
      <c r="B360" s="51" t="s">
        <v>190</v>
      </c>
      <c r="C360" s="212" t="s">
        <v>53</v>
      </c>
      <c r="D360" s="212">
        <v>117.32</v>
      </c>
      <c r="E360" s="243">
        <v>64</v>
      </c>
      <c r="F360" s="243">
        <v>0.129</v>
      </c>
      <c r="G360" s="221">
        <f t="shared" si="20"/>
        <v>968.59392</v>
      </c>
      <c r="H360" s="219">
        <f t="shared" si="21"/>
        <v>8371.05137292242</v>
      </c>
      <c r="I360" s="51"/>
    </row>
    <row r="361" spans="1:9" ht="12.75">
      <c r="A361" s="215"/>
      <c r="B361" s="51" t="s">
        <v>176</v>
      </c>
      <c r="C361" s="212" t="s">
        <v>53</v>
      </c>
      <c r="D361" s="212">
        <v>117.32</v>
      </c>
      <c r="E361" s="243">
        <f>4*4</f>
        <v>16</v>
      </c>
      <c r="F361" s="243">
        <v>0.214</v>
      </c>
      <c r="G361" s="221">
        <f t="shared" si="20"/>
        <v>401.70367999999996</v>
      </c>
      <c r="H361" s="219">
        <f t="shared" si="21"/>
        <v>3471.7151042740265</v>
      </c>
      <c r="I361" s="51"/>
    </row>
    <row r="362" spans="1:9" ht="12.75">
      <c r="A362" s="215"/>
      <c r="B362" s="51" t="s">
        <v>143</v>
      </c>
      <c r="C362" s="212" t="s">
        <v>53</v>
      </c>
      <c r="D362" s="212">
        <v>329.98</v>
      </c>
      <c r="E362" s="243">
        <v>3</v>
      </c>
      <c r="F362" s="243">
        <v>0.427</v>
      </c>
      <c r="G362" s="221">
        <f t="shared" si="20"/>
        <v>422.70438</v>
      </c>
      <c r="H362" s="219">
        <f t="shared" si="21"/>
        <v>3653.2131861196494</v>
      </c>
      <c r="I362" s="51"/>
    </row>
    <row r="363" spans="1:9" ht="12.75">
      <c r="A363" s="215"/>
      <c r="B363" s="51" t="s">
        <v>195</v>
      </c>
      <c r="C363" s="212" t="s">
        <v>203</v>
      </c>
      <c r="D363" s="212">
        <v>16.2</v>
      </c>
      <c r="E363" s="243">
        <v>1</v>
      </c>
      <c r="F363" s="243">
        <v>0.68</v>
      </c>
      <c r="G363" s="221">
        <f t="shared" si="20"/>
        <v>11.016</v>
      </c>
      <c r="H363" s="219">
        <f t="shared" si="21"/>
        <v>95.20553455891339</v>
      </c>
      <c r="I363" s="51"/>
    </row>
    <row r="364" spans="1:9" ht="12.75">
      <c r="A364" s="215"/>
      <c r="B364" s="51" t="s">
        <v>196</v>
      </c>
      <c r="C364" s="212" t="s">
        <v>80</v>
      </c>
      <c r="D364" s="212">
        <v>7</v>
      </c>
      <c r="E364" s="243">
        <v>64</v>
      </c>
      <c r="F364" s="243">
        <v>0.125</v>
      </c>
      <c r="G364" s="221">
        <f t="shared" si="20"/>
        <v>56</v>
      </c>
      <c r="H364" s="219">
        <f t="shared" si="21"/>
        <v>483.9787522965822</v>
      </c>
      <c r="I364" s="51"/>
    </row>
    <row r="365" spans="1:9" ht="12.75">
      <c r="A365" s="215"/>
      <c r="B365" s="51" t="s">
        <v>586</v>
      </c>
      <c r="C365" s="212" t="s">
        <v>53</v>
      </c>
      <c r="D365" s="212">
        <v>1.5</v>
      </c>
      <c r="E365" s="243">
        <v>4</v>
      </c>
      <c r="F365" s="243">
        <v>6.25</v>
      </c>
      <c r="G365" s="221">
        <f t="shared" si="20"/>
        <v>37.5</v>
      </c>
      <c r="H365" s="219">
        <f t="shared" si="21"/>
        <v>324.09291448431844</v>
      </c>
      <c r="I365" s="51"/>
    </row>
    <row r="366" spans="1:9" ht="12.75">
      <c r="A366" s="215"/>
      <c r="B366" s="51" t="s">
        <v>170</v>
      </c>
      <c r="C366" s="212" t="s">
        <v>135</v>
      </c>
      <c r="D366" s="212">
        <v>2</v>
      </c>
      <c r="E366" s="243">
        <v>7</v>
      </c>
      <c r="F366" s="243">
        <v>1.63</v>
      </c>
      <c r="G366" s="221">
        <f t="shared" si="20"/>
        <v>22.82</v>
      </c>
      <c r="H366" s="219">
        <f t="shared" si="21"/>
        <v>197.22134156085724</v>
      </c>
      <c r="I366" s="51"/>
    </row>
    <row r="367" spans="1:9" ht="12.75">
      <c r="A367" s="215"/>
      <c r="B367" s="51" t="s">
        <v>153</v>
      </c>
      <c r="C367" s="212" t="s">
        <v>61</v>
      </c>
      <c r="D367" s="212">
        <f>6*8</f>
        <v>48</v>
      </c>
      <c r="E367" s="243">
        <v>5</v>
      </c>
      <c r="F367" s="243">
        <v>1</v>
      </c>
      <c r="G367" s="221">
        <f t="shared" si="20"/>
        <v>240</v>
      </c>
      <c r="H367" s="219">
        <f t="shared" si="21"/>
        <v>2074.194652699638</v>
      </c>
      <c r="I367" s="51"/>
    </row>
    <row r="368" spans="1:9" ht="16.5" customHeight="1">
      <c r="A368" s="215"/>
      <c r="B368" s="47" t="s">
        <v>528</v>
      </c>
      <c r="C368" s="212"/>
      <c r="D368" s="212"/>
      <c r="E368" s="243"/>
      <c r="F368" s="243"/>
      <c r="G368" s="234">
        <f>SUM(G357:G367)</f>
        <v>3226.6037400000005</v>
      </c>
      <c r="H368" s="218">
        <f>SUM(H357:H367)</f>
        <v>27885.85093286939</v>
      </c>
      <c r="I368" s="51"/>
    </row>
    <row r="369" spans="1:10" ht="12.75">
      <c r="A369" s="215">
        <v>3</v>
      </c>
      <c r="B369" s="93" t="s">
        <v>505</v>
      </c>
      <c r="C369" s="215" t="s">
        <v>476</v>
      </c>
      <c r="D369" s="215"/>
      <c r="E369" s="210"/>
      <c r="F369" s="205"/>
      <c r="G369" s="207"/>
      <c r="H369" s="219"/>
      <c r="I369" s="205"/>
      <c r="J369" s="186"/>
    </row>
    <row r="370" spans="1:9" ht="12.75">
      <c r="A370" s="215"/>
      <c r="B370" s="51" t="s">
        <v>589</v>
      </c>
      <c r="C370" s="215" t="s">
        <v>476</v>
      </c>
      <c r="D370" s="215">
        <v>60</v>
      </c>
      <c r="E370" s="224">
        <v>1</v>
      </c>
      <c r="F370" s="215">
        <v>1</v>
      </c>
      <c r="G370" s="215">
        <v>60</v>
      </c>
      <c r="H370" s="219">
        <f>94696/10957.043*G370</f>
        <v>518.5486631749095</v>
      </c>
      <c r="I370" s="205"/>
    </row>
    <row r="371" spans="1:9" ht="12.75">
      <c r="A371" s="215"/>
      <c r="B371" s="51" t="s">
        <v>576</v>
      </c>
      <c r="C371" s="215" t="s">
        <v>476</v>
      </c>
      <c r="D371" s="215">
        <v>150</v>
      </c>
      <c r="E371" s="224">
        <v>1</v>
      </c>
      <c r="F371" s="215">
        <v>1</v>
      </c>
      <c r="G371" s="215">
        <v>150</v>
      </c>
      <c r="H371" s="219">
        <f>94696/10957.043*G371</f>
        <v>1296.3716579372738</v>
      </c>
      <c r="I371" s="205"/>
    </row>
    <row r="372" spans="1:10" ht="12.75">
      <c r="A372" s="215"/>
      <c r="B372" s="51" t="s">
        <v>590</v>
      </c>
      <c r="C372" s="215" t="s">
        <v>476</v>
      </c>
      <c r="D372" s="215">
        <v>20</v>
      </c>
      <c r="E372" s="224">
        <v>1</v>
      </c>
      <c r="F372" s="215">
        <v>1</v>
      </c>
      <c r="G372" s="215">
        <v>20</v>
      </c>
      <c r="H372" s="219">
        <f>94696/10957.043*G372</f>
        <v>172.8495543916365</v>
      </c>
      <c r="I372" s="205"/>
      <c r="J372" s="328"/>
    </row>
    <row r="373" spans="1:9" ht="12.75">
      <c r="A373" s="215"/>
      <c r="B373" s="51" t="s">
        <v>457</v>
      </c>
      <c r="C373" s="215" t="s">
        <v>476</v>
      </c>
      <c r="D373" s="215">
        <v>16</v>
      </c>
      <c r="E373" s="224">
        <v>1</v>
      </c>
      <c r="F373" s="215">
        <v>1</v>
      </c>
      <c r="G373" s="215">
        <v>16</v>
      </c>
      <c r="H373" s="219">
        <f>94696/10957.043*G373</f>
        <v>138.2796435133092</v>
      </c>
      <c r="I373" s="205"/>
    </row>
    <row r="374" spans="1:9" ht="12.75">
      <c r="A374" s="227"/>
      <c r="B374" s="51" t="s">
        <v>591</v>
      </c>
      <c r="C374" s="215" t="s">
        <v>476</v>
      </c>
      <c r="D374" s="215">
        <v>34</v>
      </c>
      <c r="E374" s="224">
        <v>1</v>
      </c>
      <c r="F374" s="215">
        <v>1</v>
      </c>
      <c r="G374" s="215">
        <v>34</v>
      </c>
      <c r="H374" s="219">
        <f>94696/10957.043*G374</f>
        <v>293.84424246578203</v>
      </c>
      <c r="I374" s="51"/>
    </row>
    <row r="375" spans="1:9" ht="15" customHeight="1">
      <c r="A375" s="227"/>
      <c r="B375" s="47" t="s">
        <v>413</v>
      </c>
      <c r="C375" s="215"/>
      <c r="D375" s="215"/>
      <c r="E375" s="224"/>
      <c r="F375" s="215"/>
      <c r="G375" s="205">
        <f>SUM(G370:G374)</f>
        <v>280</v>
      </c>
      <c r="H375" s="229">
        <f>SUM(H370:H374)</f>
        <v>2419.893761482911</v>
      </c>
      <c r="I375" s="51"/>
    </row>
    <row r="376" spans="1:9" ht="19.5" customHeight="1">
      <c r="A376" s="227"/>
      <c r="B376" s="349" t="s">
        <v>665</v>
      </c>
      <c r="C376" s="350"/>
      <c r="D376" s="350"/>
      <c r="E376" s="348"/>
      <c r="F376" s="350"/>
      <c r="G376" s="351">
        <f>G334+G346+G355+G368+G375</f>
        <v>10957.042660000001</v>
      </c>
      <c r="H376" s="254">
        <f>H334+H346+H355+H368+H375</f>
        <v>94695.99706155756</v>
      </c>
      <c r="I376" s="51"/>
    </row>
    <row r="377" spans="1:9" ht="15" customHeight="1">
      <c r="A377" s="227"/>
      <c r="B377" s="47" t="s">
        <v>120</v>
      </c>
      <c r="C377" s="215"/>
      <c r="D377" s="215"/>
      <c r="E377" s="224"/>
      <c r="F377" s="215"/>
      <c r="G377" s="205"/>
      <c r="H377" s="229"/>
      <c r="I377" s="51"/>
    </row>
    <row r="378" spans="1:9" ht="12.75">
      <c r="A378" s="212"/>
      <c r="B378" s="268" t="s">
        <v>614</v>
      </c>
      <c r="C378" s="212" t="s">
        <v>61</v>
      </c>
      <c r="D378" s="212">
        <v>179</v>
      </c>
      <c r="E378" s="243">
        <v>1</v>
      </c>
      <c r="F378" s="243">
        <v>1</v>
      </c>
      <c r="G378" s="221">
        <f aca="true" t="shared" si="22" ref="G378:G383">D378*E378*F378</f>
        <v>179</v>
      </c>
      <c r="H378" s="219">
        <v>10965</v>
      </c>
      <c r="I378" s="248" t="s">
        <v>625</v>
      </c>
    </row>
    <row r="379" spans="1:9" ht="12.75">
      <c r="A379" s="212"/>
      <c r="B379" s="266" t="s">
        <v>272</v>
      </c>
      <c r="C379" s="212" t="s">
        <v>61</v>
      </c>
      <c r="D379" s="212">
        <v>3471</v>
      </c>
      <c r="E379" s="212">
        <v>1</v>
      </c>
      <c r="F379" s="212">
        <v>1</v>
      </c>
      <c r="G379" s="221">
        <f t="shared" si="22"/>
        <v>3471</v>
      </c>
      <c r="H379" s="219">
        <v>65412</v>
      </c>
      <c r="I379" s="215">
        <v>422</v>
      </c>
    </row>
    <row r="380" spans="1:9" ht="12.75">
      <c r="A380" s="212"/>
      <c r="B380" s="251" t="s">
        <v>478</v>
      </c>
      <c r="C380" s="212" t="s">
        <v>61</v>
      </c>
      <c r="D380" s="212">
        <v>60</v>
      </c>
      <c r="E380" s="243">
        <v>1</v>
      </c>
      <c r="F380" s="243">
        <v>1</v>
      </c>
      <c r="G380" s="221">
        <f t="shared" si="22"/>
        <v>60</v>
      </c>
      <c r="H380" s="219">
        <v>1217</v>
      </c>
      <c r="I380" s="51">
        <v>450</v>
      </c>
    </row>
    <row r="381" spans="1:9" ht="12.75">
      <c r="A381" s="212"/>
      <c r="B381" s="251" t="s">
        <v>496</v>
      </c>
      <c r="C381" s="212" t="s">
        <v>61</v>
      </c>
      <c r="D381" s="212">
        <v>1469</v>
      </c>
      <c r="E381" s="243">
        <v>1</v>
      </c>
      <c r="F381" s="243">
        <v>1</v>
      </c>
      <c r="G381" s="221">
        <f t="shared" si="22"/>
        <v>1469</v>
      </c>
      <c r="H381" s="219">
        <v>56306</v>
      </c>
      <c r="I381" s="51">
        <v>419</v>
      </c>
    </row>
    <row r="382" spans="1:9" ht="12.75">
      <c r="A382" s="215"/>
      <c r="B382" s="51" t="s">
        <v>270</v>
      </c>
      <c r="C382" s="212" t="s">
        <v>61</v>
      </c>
      <c r="D382" s="212">
        <v>362</v>
      </c>
      <c r="E382" s="243">
        <v>1</v>
      </c>
      <c r="F382" s="243">
        <v>1</v>
      </c>
      <c r="G382" s="221">
        <f t="shared" si="22"/>
        <v>362</v>
      </c>
      <c r="H382" s="219">
        <v>8071</v>
      </c>
      <c r="I382" s="51">
        <v>421</v>
      </c>
    </row>
    <row r="383" spans="1:9" ht="12.75">
      <c r="A383" s="215"/>
      <c r="B383" s="266" t="s">
        <v>499</v>
      </c>
      <c r="C383" s="212" t="s">
        <v>61</v>
      </c>
      <c r="D383" s="212">
        <v>249</v>
      </c>
      <c r="E383" s="243">
        <v>1</v>
      </c>
      <c r="F383" s="243">
        <v>1</v>
      </c>
      <c r="G383" s="221">
        <f t="shared" si="22"/>
        <v>249</v>
      </c>
      <c r="H383" s="219">
        <v>7473</v>
      </c>
      <c r="I383" s="51">
        <v>417</v>
      </c>
    </row>
    <row r="384" spans="1:9" ht="15" customHeight="1">
      <c r="A384" s="227"/>
      <c r="B384" s="47" t="s">
        <v>413</v>
      </c>
      <c r="C384" s="215"/>
      <c r="D384" s="215"/>
      <c r="E384" s="224"/>
      <c r="F384" s="215"/>
      <c r="G384" s="234">
        <f>SUM(G378:G383)</f>
        <v>5790</v>
      </c>
      <c r="H384" s="229">
        <f>SUM(H378:H383)</f>
        <v>149444</v>
      </c>
      <c r="I384" s="51"/>
    </row>
    <row r="385" spans="1:10" ht="25.5">
      <c r="A385" s="51"/>
      <c r="B385" s="226" t="s">
        <v>529</v>
      </c>
      <c r="C385" s="51"/>
      <c r="D385" s="51"/>
      <c r="E385" s="51"/>
      <c r="F385" s="51"/>
      <c r="G385" s="333">
        <f>G376+G384</f>
        <v>16747.04266</v>
      </c>
      <c r="H385" s="201">
        <f>H376+H384+H347</f>
        <v>284569.99706155754</v>
      </c>
      <c r="I385" s="51"/>
      <c r="J385" s="186"/>
    </row>
    <row r="386" spans="1:9" ht="15.75" customHeight="1">
      <c r="A386" s="215"/>
      <c r="B386" s="2" t="s">
        <v>562</v>
      </c>
      <c r="C386" s="212"/>
      <c r="D386" s="212"/>
      <c r="E386" s="210"/>
      <c r="F386" s="205"/>
      <c r="G386" s="234"/>
      <c r="H386" s="233">
        <f>43113</f>
        <v>43113</v>
      </c>
      <c r="I386" s="232" t="s">
        <v>563</v>
      </c>
    </row>
    <row r="387" spans="1:9" ht="18.75" customHeight="1">
      <c r="A387" s="215">
        <v>5</v>
      </c>
      <c r="B387" s="2" t="s">
        <v>228</v>
      </c>
      <c r="C387" s="210"/>
      <c r="D387" s="210"/>
      <c r="E387" s="210"/>
      <c r="F387" s="231"/>
      <c r="G387" s="230"/>
      <c r="H387" s="254"/>
      <c r="I387" s="205"/>
    </row>
    <row r="388" spans="1:9" ht="15" customHeight="1">
      <c r="A388" s="227">
        <v>1</v>
      </c>
      <c r="B388" s="47" t="s">
        <v>592</v>
      </c>
      <c r="C388" s="215"/>
      <c r="D388" s="215"/>
      <c r="E388" s="210"/>
      <c r="F388" s="205"/>
      <c r="G388" s="207"/>
      <c r="H388" s="323">
        <v>6000</v>
      </c>
      <c r="I388" s="51"/>
    </row>
    <row r="389" spans="1:10" ht="30">
      <c r="A389" s="227"/>
      <c r="B389" s="327" t="s">
        <v>361</v>
      </c>
      <c r="C389" s="215"/>
      <c r="D389" s="215"/>
      <c r="E389" s="215"/>
      <c r="F389" s="215"/>
      <c r="G389" s="207"/>
      <c r="H389" s="206">
        <f>H385+H386+H388</f>
        <v>333682.99706155754</v>
      </c>
      <c r="I389" s="51"/>
      <c r="J389" s="225"/>
    </row>
    <row r="390" spans="1:9" ht="14.25" customHeight="1">
      <c r="A390" s="421" t="s">
        <v>25</v>
      </c>
      <c r="B390" s="422"/>
      <c r="C390" s="422"/>
      <c r="D390" s="422"/>
      <c r="E390" s="422"/>
      <c r="F390" s="422"/>
      <c r="G390" s="422"/>
      <c r="H390" s="422"/>
      <c r="I390" s="51"/>
    </row>
    <row r="391" spans="1:9" ht="12.75">
      <c r="A391" s="51">
        <v>1</v>
      </c>
      <c r="B391" s="47" t="s">
        <v>200</v>
      </c>
      <c r="C391" s="51"/>
      <c r="D391" s="51"/>
      <c r="E391" s="224"/>
      <c r="F391" s="215"/>
      <c r="G391" s="215"/>
      <c r="H391" s="223"/>
      <c r="I391" s="51"/>
    </row>
    <row r="392" spans="1:9" ht="12.75">
      <c r="A392" s="212"/>
      <c r="B392" s="51" t="s">
        <v>201</v>
      </c>
      <c r="C392" s="212" t="s">
        <v>53</v>
      </c>
      <c r="D392" s="212">
        <v>1.08</v>
      </c>
      <c r="E392" s="216">
        <v>3</v>
      </c>
      <c r="F392" s="215">
        <v>0.23</v>
      </c>
      <c r="G392" s="221">
        <f>D392*E392*F392</f>
        <v>0.7452000000000001</v>
      </c>
      <c r="H392" s="219">
        <f>45701/2402.13*G392</f>
        <v>14.177577899614095</v>
      </c>
      <c r="I392" s="51"/>
    </row>
    <row r="393" spans="1:9" ht="12.75">
      <c r="A393" s="212"/>
      <c r="B393" s="51" t="s">
        <v>202</v>
      </c>
      <c r="C393" s="212" t="s">
        <v>203</v>
      </c>
      <c r="D393" s="212">
        <v>30</v>
      </c>
      <c r="E393" s="216">
        <v>1</v>
      </c>
      <c r="F393" s="215">
        <v>0.35</v>
      </c>
      <c r="G393" s="221">
        <f>D393*E393*F393</f>
        <v>10.5</v>
      </c>
      <c r="H393" s="219">
        <f aca="true" t="shared" si="23" ref="H393:H408">45701/2402.13*G393</f>
        <v>199.76458393176057</v>
      </c>
      <c r="I393" s="51"/>
    </row>
    <row r="394" spans="1:9" ht="12.75">
      <c r="A394" s="212"/>
      <c r="B394" s="51" t="s">
        <v>204</v>
      </c>
      <c r="C394" s="212" t="s">
        <v>135</v>
      </c>
      <c r="D394" s="212">
        <v>3</v>
      </c>
      <c r="E394" s="216">
        <v>12</v>
      </c>
      <c r="F394" s="215">
        <v>1.35</v>
      </c>
      <c r="G394" s="221">
        <f>D394*E394*F394</f>
        <v>48.6</v>
      </c>
      <c r="H394" s="219">
        <f t="shared" si="23"/>
        <v>924.6246456270061</v>
      </c>
      <c r="I394" s="51"/>
    </row>
    <row r="395" spans="1:9" ht="12.75">
      <c r="A395" s="212"/>
      <c r="B395" s="51" t="s">
        <v>205</v>
      </c>
      <c r="C395" s="212" t="s">
        <v>53</v>
      </c>
      <c r="D395" s="212">
        <v>1.08</v>
      </c>
      <c r="E395" s="216">
        <v>72</v>
      </c>
      <c r="F395" s="215">
        <v>0.03</v>
      </c>
      <c r="G395" s="221">
        <f>D395*E395*F395</f>
        <v>2.3328</v>
      </c>
      <c r="H395" s="219">
        <f t="shared" si="23"/>
        <v>44.38198299009629</v>
      </c>
      <c r="I395" s="51"/>
    </row>
    <row r="396" spans="1:9" ht="12.75">
      <c r="A396" s="212"/>
      <c r="B396" s="51" t="s">
        <v>206</v>
      </c>
      <c r="C396" s="212" t="s">
        <v>53</v>
      </c>
      <c r="D396" s="211">
        <f>100/100</f>
        <v>1</v>
      </c>
      <c r="E396" s="216">
        <v>12</v>
      </c>
      <c r="F396" s="215">
        <v>1.21</v>
      </c>
      <c r="G396" s="221">
        <f>D396*E396*F396</f>
        <v>14.52</v>
      </c>
      <c r="H396" s="219">
        <f t="shared" si="23"/>
        <v>276.2458817799203</v>
      </c>
      <c r="I396" s="51"/>
    </row>
    <row r="397" spans="1:9" ht="12.75">
      <c r="A397" s="212">
        <v>2</v>
      </c>
      <c r="B397" s="47" t="s">
        <v>207</v>
      </c>
      <c r="C397" s="212"/>
      <c r="D397" s="212"/>
      <c r="E397" s="216"/>
      <c r="F397" s="215"/>
      <c r="G397" s="221"/>
      <c r="H397" s="219">
        <f t="shared" si="23"/>
        <v>0</v>
      </c>
      <c r="I397" s="51"/>
    </row>
    <row r="398" spans="1:9" ht="12.75">
      <c r="A398" s="212"/>
      <c r="B398" s="51" t="s">
        <v>208</v>
      </c>
      <c r="C398" s="212" t="s">
        <v>53</v>
      </c>
      <c r="D398" s="222">
        <f>5000/100</f>
        <v>50</v>
      </c>
      <c r="E398" s="216">
        <v>3</v>
      </c>
      <c r="F398" s="215">
        <v>0.23</v>
      </c>
      <c r="G398" s="221">
        <f aca="true" t="shared" si="24" ref="G398:G408">D398*E398*F398</f>
        <v>34.5</v>
      </c>
      <c r="H398" s="219">
        <f t="shared" si="23"/>
        <v>656.3693472043561</v>
      </c>
      <c r="I398" s="51"/>
    </row>
    <row r="399" spans="1:9" ht="12.75">
      <c r="A399" s="212"/>
      <c r="B399" s="51" t="s">
        <v>541</v>
      </c>
      <c r="C399" s="212" t="s">
        <v>53</v>
      </c>
      <c r="D399" s="212">
        <v>1.44</v>
      </c>
      <c r="E399" s="216">
        <v>27</v>
      </c>
      <c r="F399" s="215">
        <v>0.03</v>
      </c>
      <c r="G399" s="221">
        <f t="shared" si="24"/>
        <v>1.1663999999999999</v>
      </c>
      <c r="H399" s="219">
        <f t="shared" si="23"/>
        <v>22.19099149504814</v>
      </c>
      <c r="I399" s="51"/>
    </row>
    <row r="400" spans="1:9" ht="12.75">
      <c r="A400" s="212"/>
      <c r="B400" s="51" t="s">
        <v>211</v>
      </c>
      <c r="C400" s="212" t="s">
        <v>53</v>
      </c>
      <c r="D400" s="212">
        <f>1945/100</f>
        <v>19.45</v>
      </c>
      <c r="E400" s="216">
        <v>27</v>
      </c>
      <c r="F400" s="215">
        <v>0.03</v>
      </c>
      <c r="G400" s="221">
        <f t="shared" si="24"/>
        <v>15.754499999999998</v>
      </c>
      <c r="H400" s="219">
        <f t="shared" si="23"/>
        <v>299.7324892907544</v>
      </c>
      <c r="I400" s="51"/>
    </row>
    <row r="401" spans="1:9" ht="12.75">
      <c r="A401" s="212"/>
      <c r="B401" s="51" t="s">
        <v>212</v>
      </c>
      <c r="C401" s="212"/>
      <c r="D401" s="212"/>
      <c r="E401" s="216"/>
      <c r="F401" s="215"/>
      <c r="G401" s="221">
        <f t="shared" si="24"/>
        <v>0</v>
      </c>
      <c r="H401" s="219">
        <f t="shared" si="23"/>
        <v>0</v>
      </c>
      <c r="I401" s="51"/>
    </row>
    <row r="402" spans="1:9" ht="12.75">
      <c r="A402" s="212"/>
      <c r="B402" s="51" t="s">
        <v>213</v>
      </c>
      <c r="C402" s="212" t="s">
        <v>53</v>
      </c>
      <c r="D402" s="212">
        <v>27.86</v>
      </c>
      <c r="E402" s="216">
        <v>12</v>
      </c>
      <c r="F402" s="215">
        <v>1.21</v>
      </c>
      <c r="G402" s="221">
        <f t="shared" si="24"/>
        <v>404.5272</v>
      </c>
      <c r="H402" s="219">
        <f t="shared" si="23"/>
        <v>7696.21026638858</v>
      </c>
      <c r="I402" s="51"/>
    </row>
    <row r="403" spans="1:9" ht="12.75">
      <c r="A403" s="212"/>
      <c r="B403" s="51" t="s">
        <v>214</v>
      </c>
      <c r="C403" s="212" t="s">
        <v>179</v>
      </c>
      <c r="D403" s="212">
        <v>3</v>
      </c>
      <c r="E403" s="216">
        <v>12</v>
      </c>
      <c r="F403" s="215">
        <v>1.35</v>
      </c>
      <c r="G403" s="221">
        <f t="shared" si="24"/>
        <v>48.6</v>
      </c>
      <c r="H403" s="219">
        <f t="shared" si="23"/>
        <v>924.6246456270061</v>
      </c>
      <c r="I403" s="51"/>
    </row>
    <row r="404" spans="1:9" ht="12.75">
      <c r="A404" s="212"/>
      <c r="B404" s="51" t="s">
        <v>215</v>
      </c>
      <c r="C404" s="212" t="s">
        <v>53</v>
      </c>
      <c r="D404" s="212">
        <v>27.86</v>
      </c>
      <c r="E404" s="216">
        <v>6</v>
      </c>
      <c r="F404" s="215">
        <v>0.4</v>
      </c>
      <c r="G404" s="221">
        <f t="shared" si="24"/>
        <v>66.864</v>
      </c>
      <c r="H404" s="219">
        <f t="shared" si="23"/>
        <v>1272.1008704774513</v>
      </c>
      <c r="I404" s="51"/>
    </row>
    <row r="405" spans="1:9" ht="12.75">
      <c r="A405" s="212"/>
      <c r="B405" s="51" t="s">
        <v>216</v>
      </c>
      <c r="C405" s="212" t="s">
        <v>53</v>
      </c>
      <c r="D405" s="222">
        <f>22000*0.1/100</f>
        <v>22</v>
      </c>
      <c r="E405" s="216">
        <v>72</v>
      </c>
      <c r="F405" s="215">
        <v>0.03</v>
      </c>
      <c r="G405" s="221">
        <f t="shared" si="24"/>
        <v>47.519999999999996</v>
      </c>
      <c r="H405" s="219">
        <f t="shared" si="23"/>
        <v>904.0774312797391</v>
      </c>
      <c r="I405" s="51"/>
    </row>
    <row r="406" spans="1:9" ht="12.75">
      <c r="A406" s="212"/>
      <c r="B406" s="51" t="s">
        <v>202</v>
      </c>
      <c r="C406" s="212" t="s">
        <v>203</v>
      </c>
      <c r="D406" s="222">
        <v>30</v>
      </c>
      <c r="E406" s="216">
        <v>4</v>
      </c>
      <c r="F406" s="215">
        <v>0.35</v>
      </c>
      <c r="G406" s="221">
        <f t="shared" si="24"/>
        <v>42</v>
      </c>
      <c r="H406" s="219">
        <f t="shared" si="23"/>
        <v>799.0583357270423</v>
      </c>
      <c r="I406" s="51"/>
    </row>
    <row r="407" spans="1:9" ht="12.75">
      <c r="A407" s="212"/>
      <c r="B407" s="51" t="s">
        <v>584</v>
      </c>
      <c r="C407" s="212" t="s">
        <v>53</v>
      </c>
      <c r="D407" s="222">
        <v>2.44</v>
      </c>
      <c r="E407" s="216">
        <v>2</v>
      </c>
      <c r="F407" s="215">
        <v>6.25</v>
      </c>
      <c r="G407" s="221">
        <f t="shared" si="24"/>
        <v>30.5</v>
      </c>
      <c r="H407" s="219">
        <f t="shared" si="23"/>
        <v>580.2685533255902</v>
      </c>
      <c r="I407" s="51"/>
    </row>
    <row r="408" spans="1:9" ht="12.75">
      <c r="A408" s="212"/>
      <c r="B408" s="51" t="s">
        <v>217</v>
      </c>
      <c r="C408" s="212" t="s">
        <v>61</v>
      </c>
      <c r="D408" s="222">
        <v>120</v>
      </c>
      <c r="E408" s="216">
        <v>12</v>
      </c>
      <c r="F408" s="215">
        <v>1</v>
      </c>
      <c r="G408" s="221">
        <f t="shared" si="24"/>
        <v>1440</v>
      </c>
      <c r="H408" s="219">
        <f t="shared" si="23"/>
        <v>27396.285796355733</v>
      </c>
      <c r="I408" s="51"/>
    </row>
    <row r="409" spans="1:9" ht="12.75">
      <c r="A409" s="212"/>
      <c r="B409" s="47" t="s">
        <v>413</v>
      </c>
      <c r="C409" s="212"/>
      <c r="D409" s="212"/>
      <c r="E409" s="210"/>
      <c r="F409" s="205"/>
      <c r="G409" s="207">
        <f>SUM(G392:G408)</f>
        <v>2208.1301</v>
      </c>
      <c r="H409" s="218">
        <f>SUM(H392:H408)</f>
        <v>42010.11339939969</v>
      </c>
      <c r="I409" s="51"/>
    </row>
    <row r="410" spans="1:9" ht="12.75">
      <c r="A410" s="212">
        <v>3</v>
      </c>
      <c r="B410" s="93" t="s">
        <v>506</v>
      </c>
      <c r="C410" s="212"/>
      <c r="D410" s="220"/>
      <c r="E410" s="216"/>
      <c r="F410" s="215"/>
      <c r="G410" s="221"/>
      <c r="H410" s="219"/>
      <c r="I410" s="51"/>
    </row>
    <row r="411" spans="1:9" ht="12.75">
      <c r="A411" s="212"/>
      <c r="B411" s="51" t="s">
        <v>593</v>
      </c>
      <c r="C411" s="215" t="s">
        <v>476</v>
      </c>
      <c r="D411" s="220">
        <v>40</v>
      </c>
      <c r="E411" s="216">
        <v>1</v>
      </c>
      <c r="F411" s="215">
        <v>1</v>
      </c>
      <c r="G411" s="220">
        <v>40</v>
      </c>
      <c r="H411" s="219">
        <f>45701/2402.13*G411</f>
        <v>761.0079387876592</v>
      </c>
      <c r="I411" s="51"/>
    </row>
    <row r="412" spans="1:9" ht="12.75">
      <c r="A412" s="212"/>
      <c r="B412" s="51" t="s">
        <v>577</v>
      </c>
      <c r="C412" s="215" t="s">
        <v>476</v>
      </c>
      <c r="D412" s="220">
        <v>54</v>
      </c>
      <c r="E412" s="216">
        <v>1</v>
      </c>
      <c r="F412" s="215">
        <v>1</v>
      </c>
      <c r="G412" s="220">
        <v>54</v>
      </c>
      <c r="H412" s="219">
        <f>45701/2402.13*G412</f>
        <v>1027.36071736334</v>
      </c>
      <c r="I412" s="51"/>
    </row>
    <row r="413" spans="1:9" ht="12.75">
      <c r="A413" s="212"/>
      <c r="B413" s="51" t="s">
        <v>460</v>
      </c>
      <c r="C413" s="215" t="s">
        <v>476</v>
      </c>
      <c r="D413" s="220">
        <v>60</v>
      </c>
      <c r="E413" s="216">
        <v>1</v>
      </c>
      <c r="F413" s="215">
        <v>1</v>
      </c>
      <c r="G413" s="220">
        <v>60</v>
      </c>
      <c r="H413" s="219">
        <f>45701/2402.13*G413</f>
        <v>1141.511908181489</v>
      </c>
      <c r="I413" s="51"/>
    </row>
    <row r="414" spans="1:9" ht="12.75">
      <c r="A414" s="212"/>
      <c r="B414" s="51" t="s">
        <v>594</v>
      </c>
      <c r="C414" s="215" t="s">
        <v>476</v>
      </c>
      <c r="D414" s="220">
        <v>40</v>
      </c>
      <c r="E414" s="216"/>
      <c r="F414" s="215"/>
      <c r="G414" s="220">
        <v>40</v>
      </c>
      <c r="H414" s="219">
        <f>45701/2402.13*G414</f>
        <v>761.0079387876592</v>
      </c>
      <c r="I414" s="51"/>
    </row>
    <row r="415" spans="1:9" ht="12.75">
      <c r="A415" s="212"/>
      <c r="B415" s="47" t="s">
        <v>413</v>
      </c>
      <c r="C415" s="215"/>
      <c r="D415" s="220"/>
      <c r="E415" s="216"/>
      <c r="F415" s="215"/>
      <c r="G415" s="217">
        <f>SUM(G411:G414)</f>
        <v>194</v>
      </c>
      <c r="H415" s="218">
        <f>SUM(H411:H414)</f>
        <v>3690.888503120147</v>
      </c>
      <c r="I415" s="51"/>
    </row>
    <row r="416" spans="1:9" ht="16.5" customHeight="1">
      <c r="A416" s="212"/>
      <c r="B416" s="47" t="s">
        <v>668</v>
      </c>
      <c r="C416" s="258"/>
      <c r="D416" s="343"/>
      <c r="E416" s="339"/>
      <c r="F416" s="258"/>
      <c r="G416" s="333">
        <f>G409+G415</f>
        <v>2402.1301</v>
      </c>
      <c r="H416" s="228">
        <f>H409+H415</f>
        <v>45701.00190251984</v>
      </c>
      <c r="I416" s="51"/>
    </row>
    <row r="417" spans="1:9" ht="18.75" customHeight="1">
      <c r="A417" s="212"/>
      <c r="B417" s="47" t="s">
        <v>549</v>
      </c>
      <c r="C417" s="212" t="s">
        <v>61</v>
      </c>
      <c r="D417" s="222">
        <v>152</v>
      </c>
      <c r="E417" s="216">
        <v>1</v>
      </c>
      <c r="F417" s="215">
        <v>1</v>
      </c>
      <c r="G417" s="221">
        <f>D417*E417*F417</f>
        <v>152</v>
      </c>
      <c r="H417" s="219">
        <v>16366</v>
      </c>
      <c r="I417" s="248" t="s">
        <v>627</v>
      </c>
    </row>
    <row r="418" spans="1:9" ht="15">
      <c r="A418" s="51"/>
      <c r="B418" s="47" t="s">
        <v>357</v>
      </c>
      <c r="C418" s="51"/>
      <c r="D418" s="51"/>
      <c r="E418" s="205"/>
      <c r="F418" s="205"/>
      <c r="G418" s="335">
        <f>G416+G417</f>
        <v>2554.1301</v>
      </c>
      <c r="H418" s="206">
        <f>H416+H417</f>
        <v>62067.00190251984</v>
      </c>
      <c r="I418" s="51"/>
    </row>
    <row r="419" spans="1:10" ht="25.5" customHeight="1">
      <c r="A419" s="205"/>
      <c r="B419" s="204" t="s">
        <v>362</v>
      </c>
      <c r="C419" s="203"/>
      <c r="D419" s="203"/>
      <c r="E419" s="203"/>
      <c r="F419" s="203"/>
      <c r="G419" s="202"/>
      <c r="H419" s="201">
        <f>H139+H214+H267+H305+H389+H418+H324</f>
        <v>6652961.991364116</v>
      </c>
      <c r="I419" s="51"/>
      <c r="J419" s="225"/>
    </row>
    <row r="420" spans="1:7" ht="12.75">
      <c r="A420" s="185"/>
      <c r="B420" s="185"/>
      <c r="C420" s="185"/>
      <c r="D420" s="185"/>
      <c r="E420" s="185"/>
      <c r="F420" s="185"/>
      <c r="G420" s="185"/>
    </row>
    <row r="421" spans="1:12" s="188" customFormat="1" ht="12.75">
      <c r="A421" s="194"/>
      <c r="B421" s="189"/>
      <c r="C421" s="189"/>
      <c r="D421" s="189"/>
      <c r="F421" s="189"/>
      <c r="G421" s="187"/>
      <c r="I421" s="198"/>
      <c r="K421" s="200"/>
      <c r="L421" s="199"/>
    </row>
    <row r="422" spans="1:12" s="188" customFormat="1" ht="12.75">
      <c r="A422" s="194"/>
      <c r="H422" s="198"/>
      <c r="I422" s="187"/>
      <c r="K422" s="197"/>
      <c r="L422" s="196"/>
    </row>
    <row r="423" spans="1:8" s="188" customFormat="1" ht="12.75">
      <c r="A423" s="194"/>
      <c r="H423" s="190"/>
    </row>
    <row r="424" spans="1:9" s="188" customFormat="1" ht="12.75" customHeight="1">
      <c r="A424" s="194"/>
      <c r="H424" s="187"/>
      <c r="I424" s="187"/>
    </row>
    <row r="425" spans="1:9" s="188" customFormat="1" ht="12.75">
      <c r="A425" s="194"/>
      <c r="H425" s="195"/>
      <c r="I425" s="187"/>
    </row>
    <row r="426" spans="1:9" s="188" customFormat="1" ht="12.75">
      <c r="A426" s="194"/>
      <c r="H426" s="190"/>
      <c r="I426" s="187"/>
    </row>
    <row r="427" spans="1:8" s="188" customFormat="1" ht="12.75">
      <c r="A427" s="194"/>
      <c r="H427" s="189"/>
    </row>
    <row r="428" spans="1:8" s="188" customFormat="1" ht="12.75">
      <c r="A428" s="194"/>
      <c r="G428" s="187"/>
      <c r="H428" s="190"/>
    </row>
    <row r="429" spans="1:9" ht="12.75">
      <c r="A429" s="182"/>
      <c r="G429" s="188"/>
      <c r="H429" s="186"/>
      <c r="I429" s="186"/>
    </row>
    <row r="430" ht="12.75">
      <c r="G430" s="188"/>
    </row>
    <row r="431" spans="2:9" ht="12.75">
      <c r="B431" s="188"/>
      <c r="C431" s="188"/>
      <c r="D431" s="188"/>
      <c r="E431" s="188"/>
      <c r="F431" s="188"/>
      <c r="G431" s="188"/>
      <c r="H431" s="193"/>
      <c r="I431" s="186"/>
    </row>
    <row r="432" spans="2:9" ht="12.75">
      <c r="B432" s="188"/>
      <c r="C432" s="188"/>
      <c r="D432" s="188"/>
      <c r="E432" s="188"/>
      <c r="F432" s="188"/>
      <c r="G432" s="188"/>
      <c r="I432" s="186"/>
    </row>
    <row r="433" spans="2:6" ht="12.75">
      <c r="B433" s="192"/>
      <c r="C433" s="188"/>
      <c r="D433" s="188"/>
      <c r="E433" s="188"/>
      <c r="F433" s="188"/>
    </row>
    <row r="434" ht="12.75">
      <c r="H434" s="186"/>
    </row>
    <row r="440" spans="2:7" ht="12.75">
      <c r="B440" s="189"/>
      <c r="C440" s="189"/>
      <c r="D440" s="189"/>
      <c r="E440" s="191"/>
      <c r="F440" s="189"/>
      <c r="G440" s="190"/>
    </row>
    <row r="441" spans="2:7" ht="12.75">
      <c r="B441" s="189"/>
      <c r="C441" s="189"/>
      <c r="D441" s="189"/>
      <c r="E441" s="189"/>
      <c r="F441" s="189"/>
      <c r="G441" s="189"/>
    </row>
    <row r="442" spans="2:7" ht="12.75">
      <c r="B442" s="183"/>
      <c r="C442" s="189"/>
      <c r="D442" s="189"/>
      <c r="G442" s="189"/>
    </row>
    <row r="443" spans="2:7" ht="12.75">
      <c r="B443" s="183"/>
      <c r="C443" s="189"/>
      <c r="D443" s="189"/>
      <c r="G443" s="190"/>
    </row>
    <row r="444" spans="2:7" ht="12.75">
      <c r="B444" s="183"/>
      <c r="C444" s="189"/>
      <c r="D444" s="189"/>
      <c r="G444" s="188"/>
    </row>
    <row r="445" spans="2:7" ht="12.75">
      <c r="B445" s="183"/>
      <c r="G445" s="187"/>
    </row>
    <row r="446" ht="12.75">
      <c r="B446" s="183"/>
    </row>
    <row r="447" spans="2:7" ht="12.75">
      <c r="B447" s="183"/>
      <c r="G447" s="186"/>
    </row>
    <row r="448" ht="12.75">
      <c r="B448" s="183"/>
    </row>
    <row r="449" spans="1:2" ht="12.75">
      <c r="A449" s="184"/>
      <c r="B449" s="183"/>
    </row>
    <row r="450" ht="12.75">
      <c r="B450" s="183"/>
    </row>
    <row r="451" ht="12.75">
      <c r="B451" s="183"/>
    </row>
    <row r="478" ht="12.75">
      <c r="B478" s="182"/>
    </row>
  </sheetData>
  <sheetProtection/>
  <mergeCells count="21">
    <mergeCell ref="A18:H18"/>
    <mergeCell ref="A19:H19"/>
    <mergeCell ref="A20:H20"/>
    <mergeCell ref="A21:H21"/>
    <mergeCell ref="A144:H144"/>
    <mergeCell ref="A215:H215"/>
    <mergeCell ref="A216:H216"/>
    <mergeCell ref="A268:H268"/>
    <mergeCell ref="A22:H22"/>
    <mergeCell ref="B89:I89"/>
    <mergeCell ref="A140:G140"/>
    <mergeCell ref="A143:H143"/>
    <mergeCell ref="A390:H390"/>
    <mergeCell ref="A326:H326"/>
    <mergeCell ref="A335:H335"/>
    <mergeCell ref="A336:H336"/>
    <mergeCell ref="A348:H348"/>
    <mergeCell ref="A269:H269"/>
    <mergeCell ref="A306:H306"/>
    <mergeCell ref="A307:H307"/>
    <mergeCell ref="A325:H325"/>
  </mergeCells>
  <printOptions/>
  <pageMargins left="0.16" right="0.16" top="0.16" bottom="0.21" header="0.21" footer="0.17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L470"/>
  <sheetViews>
    <sheetView zoomScale="75" zoomScaleNormal="75" zoomScalePageLayoutView="0" workbookViewId="0" topLeftCell="A14">
      <pane ySplit="1" topLeftCell="BM21" activePane="bottomLeft" state="frozen"/>
      <selection pane="topLeft" activeCell="A14" sqref="A14"/>
      <selection pane="bottomLeft" activeCell="H127" sqref="H127:H130"/>
    </sheetView>
  </sheetViews>
  <sheetFormatPr defaultColWidth="9.00390625" defaultRowHeight="12.75"/>
  <cols>
    <col min="1" max="1" width="4.125" style="181" customWidth="1"/>
    <col min="2" max="2" width="67.125" style="181" customWidth="1"/>
    <col min="3" max="3" width="8.75390625" style="181" customWidth="1"/>
    <col min="4" max="4" width="8.625" style="181" customWidth="1"/>
    <col min="5" max="5" width="6.25390625" style="181" customWidth="1"/>
    <col min="6" max="6" width="7.625" style="181" customWidth="1"/>
    <col min="7" max="7" width="11.625" style="181" customWidth="1"/>
    <col min="8" max="8" width="13.25390625" style="193" bestFit="1" customWidth="1"/>
    <col min="9" max="9" width="3.75390625" style="181" bestFit="1" customWidth="1"/>
    <col min="10" max="10" width="58.125" style="181" customWidth="1"/>
    <col min="11" max="14" width="9.125" style="181" customWidth="1"/>
    <col min="15" max="15" width="10.125" style="181" bestFit="1" customWidth="1"/>
    <col min="16" max="16" width="11.25390625" style="181" bestFit="1" customWidth="1"/>
    <col min="17" max="16384" width="9.125" style="181" customWidth="1"/>
  </cols>
  <sheetData>
    <row r="1" spans="7:8" ht="14.25">
      <c r="G1" s="318" t="s">
        <v>277</v>
      </c>
      <c r="H1" s="358"/>
    </row>
    <row r="2" spans="7:8" ht="14.25">
      <c r="G2" s="318" t="s">
        <v>280</v>
      </c>
      <c r="H2" s="358"/>
    </row>
    <row r="3" spans="7:8" ht="14.25">
      <c r="G3" s="318" t="s">
        <v>278</v>
      </c>
      <c r="H3" s="358"/>
    </row>
    <row r="4" spans="7:8" ht="14.25">
      <c r="G4" s="318" t="s">
        <v>669</v>
      </c>
      <c r="H4" s="358"/>
    </row>
    <row r="5" spans="7:8" ht="14.25">
      <c r="G5" s="318" t="s">
        <v>279</v>
      </c>
      <c r="H5" s="358"/>
    </row>
    <row r="6" ht="12.75" customHeight="1"/>
    <row r="7" ht="12.75" customHeight="1"/>
    <row r="8" ht="12.75" customHeight="1"/>
    <row r="9" spans="2:6" ht="15.75">
      <c r="B9" s="315"/>
      <c r="C9" s="316" t="s">
        <v>597</v>
      </c>
      <c r="D9" s="315"/>
      <c r="E9" s="315"/>
      <c r="F9" s="315"/>
    </row>
    <row r="10" spans="1:6" ht="15.75">
      <c r="A10" s="183"/>
      <c r="B10" s="317"/>
      <c r="C10" s="316" t="s">
        <v>1</v>
      </c>
      <c r="D10" s="317"/>
      <c r="E10" s="317"/>
      <c r="F10" s="317"/>
    </row>
    <row r="11" spans="1:7" ht="15.75">
      <c r="A11" s="183"/>
      <c r="B11" s="315"/>
      <c r="C11" s="316" t="s">
        <v>598</v>
      </c>
      <c r="D11" s="315"/>
      <c r="E11" s="315"/>
      <c r="F11" s="315"/>
      <c r="G11" s="314"/>
    </row>
    <row r="13" ht="12.75">
      <c r="D13" s="313"/>
    </row>
    <row r="14" spans="1:8" ht="51">
      <c r="A14" s="312" t="s">
        <v>27</v>
      </c>
      <c r="B14" s="231" t="s">
        <v>2</v>
      </c>
      <c r="C14" s="231" t="s">
        <v>3</v>
      </c>
      <c r="D14" s="312" t="s">
        <v>26</v>
      </c>
      <c r="E14" s="231" t="s">
        <v>410</v>
      </c>
      <c r="F14" s="231" t="s">
        <v>409</v>
      </c>
      <c r="G14" s="231" t="s">
        <v>487</v>
      </c>
      <c r="H14" s="359" t="s">
        <v>411</v>
      </c>
    </row>
    <row r="15" spans="1:16" ht="12.75">
      <c r="A15" s="307" t="s">
        <v>13</v>
      </c>
      <c r="B15" s="283" t="s">
        <v>28</v>
      </c>
      <c r="C15" s="306"/>
      <c r="D15" s="306"/>
      <c r="E15" s="305"/>
      <c r="F15" s="305"/>
      <c r="G15" s="305"/>
      <c r="H15" s="360"/>
      <c r="I15" s="307" t="s">
        <v>13</v>
      </c>
      <c r="J15" s="283" t="s">
        <v>28</v>
      </c>
      <c r="K15" s="306"/>
      <c r="L15" s="306"/>
      <c r="M15" s="305"/>
      <c r="N15" s="305"/>
      <c r="O15" s="305"/>
      <c r="P15" s="304"/>
    </row>
    <row r="16" spans="1:16" ht="12.75">
      <c r="A16" s="227"/>
      <c r="B16" s="47" t="s">
        <v>29</v>
      </c>
      <c r="C16" s="205"/>
      <c r="D16" s="205"/>
      <c r="E16" s="215"/>
      <c r="F16" s="215"/>
      <c r="G16" s="205"/>
      <c r="H16" s="361"/>
      <c r="I16" s="227"/>
      <c r="J16" s="47" t="s">
        <v>29</v>
      </c>
      <c r="K16" s="205"/>
      <c r="L16" s="205"/>
      <c r="M16" s="215"/>
      <c r="N16" s="215"/>
      <c r="O16" s="205"/>
      <c r="P16" s="223"/>
    </row>
    <row r="17" spans="1:16" ht="12.75">
      <c r="A17" s="227"/>
      <c r="B17" s="51" t="s">
        <v>30</v>
      </c>
      <c r="C17" s="212" t="s">
        <v>43</v>
      </c>
      <c r="D17" s="212">
        <f>2000/10</f>
        <v>200</v>
      </c>
      <c r="E17" s="216">
        <v>16</v>
      </c>
      <c r="F17" s="216">
        <v>0.47</v>
      </c>
      <c r="G17" s="300">
        <f aca="true" t="shared" si="0" ref="G17:G79">D17*E17*F17</f>
        <v>1504</v>
      </c>
      <c r="H17" s="362">
        <f>779578/33270.718*G17</f>
        <v>35240.75771373494</v>
      </c>
      <c r="I17" s="227"/>
      <c r="J17" s="51" t="s">
        <v>30</v>
      </c>
      <c r="K17" s="212" t="s">
        <v>43</v>
      </c>
      <c r="L17" s="212">
        <f>2000/10</f>
        <v>200</v>
      </c>
      <c r="M17" s="216">
        <v>20</v>
      </c>
      <c r="N17" s="216">
        <v>0.47</v>
      </c>
      <c r="O17" s="300">
        <f aca="true" t="shared" si="1" ref="O17:O79">L17*M17*N17</f>
        <v>1880</v>
      </c>
      <c r="P17" s="291">
        <f aca="true" t="shared" si="2" ref="P17:P79">790730/39258.45*O17</f>
        <v>37866.30394220862</v>
      </c>
    </row>
    <row r="18" spans="1:16" ht="12.75">
      <c r="A18" s="227"/>
      <c r="B18" s="51" t="s">
        <v>31</v>
      </c>
      <c r="C18" s="212" t="s">
        <v>43</v>
      </c>
      <c r="D18" s="212">
        <f>400/10</f>
        <v>40</v>
      </c>
      <c r="E18" s="216">
        <v>16</v>
      </c>
      <c r="F18" s="216">
        <v>0.47</v>
      </c>
      <c r="G18" s="300">
        <f t="shared" si="0"/>
        <v>300.79999999999995</v>
      </c>
      <c r="H18" s="362">
        <f aca="true" t="shared" si="3" ref="H18:H79">779578/33270.718*G18</f>
        <v>7048.151542746988</v>
      </c>
      <c r="I18" s="227"/>
      <c r="J18" s="51" t="s">
        <v>31</v>
      </c>
      <c r="K18" s="212" t="s">
        <v>43</v>
      </c>
      <c r="L18" s="212">
        <f>400/10</f>
        <v>40</v>
      </c>
      <c r="M18" s="216">
        <v>20</v>
      </c>
      <c r="N18" s="216">
        <v>0.47</v>
      </c>
      <c r="O18" s="300">
        <f t="shared" si="1"/>
        <v>376</v>
      </c>
      <c r="P18" s="291">
        <f t="shared" si="2"/>
        <v>7573.260788441725</v>
      </c>
    </row>
    <row r="19" spans="1:16" ht="12.75">
      <c r="A19" s="227"/>
      <c r="B19" s="51" t="s">
        <v>32</v>
      </c>
      <c r="C19" s="212" t="s">
        <v>43</v>
      </c>
      <c r="D19" s="212">
        <f>574/10</f>
        <v>57.4</v>
      </c>
      <c r="E19" s="216">
        <v>16</v>
      </c>
      <c r="F19" s="216">
        <v>0.47</v>
      </c>
      <c r="G19" s="300">
        <f t="shared" si="0"/>
        <v>431.64799999999997</v>
      </c>
      <c r="H19" s="362">
        <f t="shared" si="3"/>
        <v>10114.097463841928</v>
      </c>
      <c r="I19" s="227"/>
      <c r="J19" s="51" t="s">
        <v>32</v>
      </c>
      <c r="K19" s="212" t="s">
        <v>43</v>
      </c>
      <c r="L19" s="212">
        <f>574/10</f>
        <v>57.4</v>
      </c>
      <c r="M19" s="216">
        <v>20</v>
      </c>
      <c r="N19" s="216">
        <v>0.47</v>
      </c>
      <c r="O19" s="300">
        <f t="shared" si="1"/>
        <v>539.56</v>
      </c>
      <c r="P19" s="291">
        <f t="shared" si="2"/>
        <v>10867.629231413874</v>
      </c>
    </row>
    <row r="20" spans="1:16" ht="12.75">
      <c r="A20" s="227"/>
      <c r="B20" s="51" t="s">
        <v>33</v>
      </c>
      <c r="C20" s="212" t="s">
        <v>43</v>
      </c>
      <c r="D20" s="212">
        <f>300/10</f>
        <v>30</v>
      </c>
      <c r="E20" s="216">
        <v>16</v>
      </c>
      <c r="F20" s="216">
        <v>0.47</v>
      </c>
      <c r="G20" s="300">
        <f t="shared" si="0"/>
        <v>225.6</v>
      </c>
      <c r="H20" s="362">
        <f t="shared" si="3"/>
        <v>5286.113657060241</v>
      </c>
      <c r="I20" s="227"/>
      <c r="J20" s="51" t="s">
        <v>33</v>
      </c>
      <c r="K20" s="212" t="s">
        <v>43</v>
      </c>
      <c r="L20" s="212">
        <f>300/10</f>
        <v>30</v>
      </c>
      <c r="M20" s="216">
        <v>20</v>
      </c>
      <c r="N20" s="216">
        <v>0.47</v>
      </c>
      <c r="O20" s="300">
        <f t="shared" si="1"/>
        <v>282</v>
      </c>
      <c r="P20" s="291">
        <f t="shared" si="2"/>
        <v>5679.945591331294</v>
      </c>
    </row>
    <row r="21" spans="1:16" ht="12.75">
      <c r="A21" s="227"/>
      <c r="B21" s="51" t="s">
        <v>34</v>
      </c>
      <c r="C21" s="212" t="s">
        <v>43</v>
      </c>
      <c r="D21" s="212">
        <f>1930/10</f>
        <v>193</v>
      </c>
      <c r="E21" s="216">
        <v>16</v>
      </c>
      <c r="F21" s="216">
        <v>0.47</v>
      </c>
      <c r="G21" s="300">
        <f t="shared" si="0"/>
        <v>1451.36</v>
      </c>
      <c r="H21" s="362">
        <f t="shared" si="3"/>
        <v>34007.33119375422</v>
      </c>
      <c r="I21" s="227"/>
      <c r="J21" s="51" t="s">
        <v>34</v>
      </c>
      <c r="K21" s="212" t="s">
        <v>43</v>
      </c>
      <c r="L21" s="212">
        <f>1930/10</f>
        <v>193</v>
      </c>
      <c r="M21" s="216">
        <v>20</v>
      </c>
      <c r="N21" s="216">
        <v>0.47</v>
      </c>
      <c r="O21" s="300">
        <f t="shared" si="1"/>
        <v>1814.1999999999998</v>
      </c>
      <c r="P21" s="291">
        <f t="shared" si="2"/>
        <v>36540.98330423132</v>
      </c>
    </row>
    <row r="22" spans="1:16" ht="12.75">
      <c r="A22" s="227"/>
      <c r="B22" s="51" t="s">
        <v>35</v>
      </c>
      <c r="C22" s="212" t="s">
        <v>43</v>
      </c>
      <c r="D22" s="212">
        <f>960/10</f>
        <v>96</v>
      </c>
      <c r="E22" s="216">
        <v>16</v>
      </c>
      <c r="F22" s="216">
        <v>0.47</v>
      </c>
      <c r="G22" s="300">
        <f t="shared" si="0"/>
        <v>721.92</v>
      </c>
      <c r="H22" s="362">
        <f t="shared" si="3"/>
        <v>16915.56370259277</v>
      </c>
      <c r="I22" s="227"/>
      <c r="J22" s="51" t="s">
        <v>35</v>
      </c>
      <c r="K22" s="212" t="s">
        <v>43</v>
      </c>
      <c r="L22" s="212">
        <f>960/10</f>
        <v>96</v>
      </c>
      <c r="M22" s="216">
        <v>20</v>
      </c>
      <c r="N22" s="216">
        <v>0.47</v>
      </c>
      <c r="O22" s="300">
        <f t="shared" si="1"/>
        <v>902.4</v>
      </c>
      <c r="P22" s="291">
        <f t="shared" si="2"/>
        <v>18175.825892260138</v>
      </c>
    </row>
    <row r="23" spans="1:16" ht="12.75">
      <c r="A23" s="215"/>
      <c r="B23" s="51" t="s">
        <v>36</v>
      </c>
      <c r="C23" s="212" t="s">
        <v>43</v>
      </c>
      <c r="D23" s="220">
        <f>1418/10</f>
        <v>141.8</v>
      </c>
      <c r="E23" s="216">
        <v>16</v>
      </c>
      <c r="F23" s="216">
        <v>0.47</v>
      </c>
      <c r="G23" s="300">
        <f t="shared" si="0"/>
        <v>1066.336</v>
      </c>
      <c r="H23" s="362">
        <f t="shared" si="3"/>
        <v>24985.697219038077</v>
      </c>
      <c r="I23" s="215"/>
      <c r="J23" s="51" t="s">
        <v>36</v>
      </c>
      <c r="K23" s="212" t="s">
        <v>43</v>
      </c>
      <c r="L23" s="220">
        <f>1418/10</f>
        <v>141.8</v>
      </c>
      <c r="M23" s="216">
        <v>20</v>
      </c>
      <c r="N23" s="216">
        <v>0.47</v>
      </c>
      <c r="O23" s="300">
        <f t="shared" si="1"/>
        <v>1332.9199999999998</v>
      </c>
      <c r="P23" s="291">
        <f t="shared" si="2"/>
        <v>26847.209495025912</v>
      </c>
    </row>
    <row r="24" spans="1:16" ht="12.75">
      <c r="A24" s="215"/>
      <c r="B24" s="51" t="s">
        <v>37</v>
      </c>
      <c r="C24" s="212" t="s">
        <v>43</v>
      </c>
      <c r="D24" s="212">
        <f>330/10</f>
        <v>33</v>
      </c>
      <c r="E24" s="216">
        <v>16</v>
      </c>
      <c r="F24" s="216">
        <v>0.47</v>
      </c>
      <c r="G24" s="300">
        <f t="shared" si="0"/>
        <v>248.16</v>
      </c>
      <c r="H24" s="362">
        <f t="shared" si="3"/>
        <v>5814.725022766265</v>
      </c>
      <c r="I24" s="215"/>
      <c r="J24" s="51" t="s">
        <v>37</v>
      </c>
      <c r="K24" s="212" t="s">
        <v>43</v>
      </c>
      <c r="L24" s="212">
        <f>330/10</f>
        <v>33</v>
      </c>
      <c r="M24" s="216">
        <v>20</v>
      </c>
      <c r="N24" s="216">
        <v>0.47</v>
      </c>
      <c r="O24" s="300">
        <f t="shared" si="1"/>
        <v>310.2</v>
      </c>
      <c r="P24" s="291">
        <f t="shared" si="2"/>
        <v>6247.940150464423</v>
      </c>
    </row>
    <row r="25" spans="1:16" ht="12.75">
      <c r="A25" s="215"/>
      <c r="B25" s="51" t="s">
        <v>38</v>
      </c>
      <c r="C25" s="212" t="s">
        <v>43</v>
      </c>
      <c r="D25" s="212">
        <f>960/10</f>
        <v>96</v>
      </c>
      <c r="E25" s="216">
        <v>16</v>
      </c>
      <c r="F25" s="216">
        <v>0.47</v>
      </c>
      <c r="G25" s="300">
        <f t="shared" si="0"/>
        <v>721.92</v>
      </c>
      <c r="H25" s="362">
        <f t="shared" si="3"/>
        <v>16915.56370259277</v>
      </c>
      <c r="I25" s="215"/>
      <c r="J25" s="51" t="s">
        <v>38</v>
      </c>
      <c r="K25" s="212" t="s">
        <v>43</v>
      </c>
      <c r="L25" s="212">
        <f>960/10</f>
        <v>96</v>
      </c>
      <c r="M25" s="216">
        <v>20</v>
      </c>
      <c r="N25" s="216">
        <v>0.47</v>
      </c>
      <c r="O25" s="300">
        <f t="shared" si="1"/>
        <v>902.4</v>
      </c>
      <c r="P25" s="291">
        <f t="shared" si="2"/>
        <v>18175.825892260138</v>
      </c>
    </row>
    <row r="26" spans="1:16" ht="12.75">
      <c r="A26" s="227"/>
      <c r="B26" s="51" t="s">
        <v>39</v>
      </c>
      <c r="C26" s="212" t="s">
        <v>43</v>
      </c>
      <c r="D26" s="212">
        <f>2200/10</f>
        <v>220</v>
      </c>
      <c r="E26" s="216">
        <v>8</v>
      </c>
      <c r="F26" s="216">
        <v>0.47</v>
      </c>
      <c r="G26" s="300">
        <f t="shared" si="0"/>
        <v>827.1999999999999</v>
      </c>
      <c r="H26" s="362">
        <f t="shared" si="3"/>
        <v>19382.41674255422</v>
      </c>
      <c r="I26" s="227"/>
      <c r="J26" s="51" t="s">
        <v>39</v>
      </c>
      <c r="K26" s="212" t="s">
        <v>43</v>
      </c>
      <c r="L26" s="212">
        <f>2200/10</f>
        <v>220</v>
      </c>
      <c r="M26" s="216">
        <v>10</v>
      </c>
      <c r="N26" s="216">
        <v>0.47</v>
      </c>
      <c r="O26" s="300">
        <f t="shared" si="1"/>
        <v>1034</v>
      </c>
      <c r="P26" s="291">
        <f t="shared" si="2"/>
        <v>20826.467168214745</v>
      </c>
    </row>
    <row r="27" spans="1:16" ht="12.75">
      <c r="A27" s="227"/>
      <c r="B27" s="51" t="s">
        <v>40</v>
      </c>
      <c r="C27" s="212" t="s">
        <v>43</v>
      </c>
      <c r="D27" s="220">
        <f>1743/10</f>
        <v>174.3</v>
      </c>
      <c r="E27" s="216">
        <v>8</v>
      </c>
      <c r="F27" s="216">
        <v>0.47</v>
      </c>
      <c r="G27" s="300">
        <f t="shared" si="0"/>
        <v>655.368</v>
      </c>
      <c r="H27" s="362">
        <f t="shared" si="3"/>
        <v>15356.160173760003</v>
      </c>
      <c r="I27" s="227"/>
      <c r="J27" s="51" t="s">
        <v>40</v>
      </c>
      <c r="K27" s="212" t="s">
        <v>43</v>
      </c>
      <c r="L27" s="220">
        <f>1743/10</f>
        <v>174.3</v>
      </c>
      <c r="M27" s="216">
        <v>10</v>
      </c>
      <c r="N27" s="216">
        <v>0.47</v>
      </c>
      <c r="O27" s="300">
        <f t="shared" si="1"/>
        <v>819.2099999999999</v>
      </c>
      <c r="P27" s="291">
        <f t="shared" si="2"/>
        <v>16500.241942817407</v>
      </c>
    </row>
    <row r="28" spans="1:16" ht="12.75">
      <c r="A28" s="227"/>
      <c r="B28" s="51" t="s">
        <v>41</v>
      </c>
      <c r="C28" s="212" t="s">
        <v>43</v>
      </c>
      <c r="D28" s="212">
        <f>2500/10</f>
        <v>250</v>
      </c>
      <c r="E28" s="216">
        <v>4</v>
      </c>
      <c r="F28" s="216">
        <v>0.47</v>
      </c>
      <c r="G28" s="300">
        <f t="shared" si="0"/>
        <v>470</v>
      </c>
      <c r="H28" s="362">
        <f t="shared" si="3"/>
        <v>11012.73678554217</v>
      </c>
      <c r="I28" s="227"/>
      <c r="J28" s="51" t="s">
        <v>41</v>
      </c>
      <c r="K28" s="212" t="s">
        <v>43</v>
      </c>
      <c r="L28" s="212">
        <f>2500/10</f>
        <v>250</v>
      </c>
      <c r="M28" s="216">
        <v>6</v>
      </c>
      <c r="N28" s="216">
        <v>0.47</v>
      </c>
      <c r="O28" s="300">
        <f t="shared" si="1"/>
        <v>705</v>
      </c>
      <c r="P28" s="291">
        <f t="shared" si="2"/>
        <v>14199.863978328234</v>
      </c>
    </row>
    <row r="29" spans="1:16" ht="12.75">
      <c r="A29" s="227"/>
      <c r="B29" s="51" t="s">
        <v>42</v>
      </c>
      <c r="C29" s="212" t="s">
        <v>43</v>
      </c>
      <c r="D29" s="212">
        <f>850/10</f>
        <v>85</v>
      </c>
      <c r="E29" s="216">
        <v>4</v>
      </c>
      <c r="F29" s="216">
        <v>0.47</v>
      </c>
      <c r="G29" s="300">
        <f t="shared" si="0"/>
        <v>159.79999999999998</v>
      </c>
      <c r="H29" s="362">
        <f t="shared" si="3"/>
        <v>3744.3305070843376</v>
      </c>
      <c r="I29" s="227"/>
      <c r="J29" s="51" t="s">
        <v>42</v>
      </c>
      <c r="K29" s="212" t="s">
        <v>43</v>
      </c>
      <c r="L29" s="212">
        <f>850/10</f>
        <v>85</v>
      </c>
      <c r="M29" s="216">
        <v>6</v>
      </c>
      <c r="N29" s="216">
        <v>0.47</v>
      </c>
      <c r="O29" s="300">
        <f t="shared" si="1"/>
        <v>239.7</v>
      </c>
      <c r="P29" s="291">
        <f t="shared" si="2"/>
        <v>4827.9537526316</v>
      </c>
    </row>
    <row r="30" spans="1:16" ht="12.75">
      <c r="A30" s="352"/>
      <c r="B30" s="353" t="s">
        <v>509</v>
      </c>
      <c r="C30" s="354" t="s">
        <v>43</v>
      </c>
      <c r="D30" s="354">
        <f>420/10</f>
        <v>42</v>
      </c>
      <c r="E30" s="355">
        <v>4</v>
      </c>
      <c r="F30" s="355">
        <v>0.47</v>
      </c>
      <c r="G30" s="356">
        <f t="shared" si="0"/>
        <v>78.96</v>
      </c>
      <c r="H30" s="363">
        <f t="shared" si="3"/>
        <v>1850.1397799710844</v>
      </c>
      <c r="I30" s="352"/>
      <c r="J30" s="353" t="s">
        <v>509</v>
      </c>
      <c r="K30" s="354" t="s">
        <v>43</v>
      </c>
      <c r="L30" s="354">
        <f>420/10</f>
        <v>42</v>
      </c>
      <c r="M30" s="355">
        <v>6</v>
      </c>
      <c r="N30" s="355">
        <v>0.47</v>
      </c>
      <c r="O30" s="356">
        <f t="shared" si="1"/>
        <v>118.44</v>
      </c>
      <c r="P30" s="357">
        <f t="shared" si="2"/>
        <v>2385.5771483591434</v>
      </c>
    </row>
    <row r="31" spans="1:16" ht="12.75">
      <c r="A31" s="227"/>
      <c r="B31" s="51" t="s">
        <v>510</v>
      </c>
      <c r="C31" s="212" t="s">
        <v>43</v>
      </c>
      <c r="D31" s="212">
        <f>550/10</f>
        <v>55</v>
      </c>
      <c r="E31" s="216">
        <v>4</v>
      </c>
      <c r="F31" s="216">
        <v>0.47</v>
      </c>
      <c r="G31" s="300">
        <f t="shared" si="0"/>
        <v>103.39999999999999</v>
      </c>
      <c r="H31" s="362">
        <f t="shared" si="3"/>
        <v>2422.8020928192773</v>
      </c>
      <c r="I31" s="227"/>
      <c r="J31" s="51" t="s">
        <v>510</v>
      </c>
      <c r="K31" s="212" t="s">
        <v>43</v>
      </c>
      <c r="L31" s="212">
        <f>550/10</f>
        <v>55</v>
      </c>
      <c r="M31" s="216">
        <v>6</v>
      </c>
      <c r="N31" s="216">
        <v>0.47</v>
      </c>
      <c r="O31" s="300">
        <f t="shared" si="1"/>
        <v>155.1</v>
      </c>
      <c r="P31" s="291">
        <f t="shared" si="2"/>
        <v>3123.9700752322115</v>
      </c>
    </row>
    <row r="32" spans="1:16" ht="12.75">
      <c r="A32" s="227"/>
      <c r="B32" s="51" t="s">
        <v>511</v>
      </c>
      <c r="C32" s="212" t="s">
        <v>43</v>
      </c>
      <c r="D32" s="212">
        <f>2000/10</f>
        <v>200</v>
      </c>
      <c r="E32" s="216">
        <v>4</v>
      </c>
      <c r="F32" s="216">
        <v>0.47</v>
      </c>
      <c r="G32" s="300">
        <f t="shared" si="0"/>
        <v>376</v>
      </c>
      <c r="H32" s="362">
        <f t="shared" si="3"/>
        <v>8810.189428433736</v>
      </c>
      <c r="I32" s="227"/>
      <c r="J32" s="51" t="s">
        <v>511</v>
      </c>
      <c r="K32" s="212" t="s">
        <v>43</v>
      </c>
      <c r="L32" s="212">
        <f>2000/10</f>
        <v>200</v>
      </c>
      <c r="M32" s="216">
        <v>6</v>
      </c>
      <c r="N32" s="216">
        <v>0.47</v>
      </c>
      <c r="O32" s="300">
        <f t="shared" si="1"/>
        <v>564</v>
      </c>
      <c r="P32" s="291">
        <f t="shared" si="2"/>
        <v>11359.891182662588</v>
      </c>
    </row>
    <row r="33" spans="1:16" ht="12.75">
      <c r="A33" s="303">
        <v>2</v>
      </c>
      <c r="B33" s="51" t="s">
        <v>512</v>
      </c>
      <c r="C33" s="212"/>
      <c r="D33" s="212"/>
      <c r="E33" s="216"/>
      <c r="F33" s="216"/>
      <c r="G33" s="300">
        <f t="shared" si="0"/>
        <v>0</v>
      </c>
      <c r="H33" s="362">
        <f t="shared" si="3"/>
        <v>0</v>
      </c>
      <c r="I33" s="303">
        <v>2</v>
      </c>
      <c r="J33" s="51" t="s">
        <v>512</v>
      </c>
      <c r="K33" s="212"/>
      <c r="L33" s="212"/>
      <c r="M33" s="216"/>
      <c r="N33" s="216"/>
      <c r="O33" s="300">
        <f t="shared" si="1"/>
        <v>0</v>
      </c>
      <c r="P33" s="291">
        <f t="shared" si="2"/>
        <v>0</v>
      </c>
    </row>
    <row r="34" spans="1:16" ht="12.75">
      <c r="A34" s="227"/>
      <c r="B34" s="51" t="s">
        <v>517</v>
      </c>
      <c r="C34" s="212" t="s">
        <v>53</v>
      </c>
      <c r="D34" s="212">
        <v>160</v>
      </c>
      <c r="E34" s="216">
        <v>6</v>
      </c>
      <c r="F34" s="216">
        <v>0.091</v>
      </c>
      <c r="G34" s="300">
        <f t="shared" si="0"/>
        <v>87.36</v>
      </c>
      <c r="H34" s="362">
        <f t="shared" si="3"/>
        <v>2046.9631608190723</v>
      </c>
      <c r="I34" s="227"/>
      <c r="J34" s="51" t="s">
        <v>517</v>
      </c>
      <c r="K34" s="212" t="s">
        <v>53</v>
      </c>
      <c r="L34" s="212">
        <v>160</v>
      </c>
      <c r="M34" s="216">
        <v>6</v>
      </c>
      <c r="N34" s="216">
        <v>0.091</v>
      </c>
      <c r="O34" s="300">
        <f t="shared" si="1"/>
        <v>87.36</v>
      </c>
      <c r="P34" s="291">
        <f t="shared" si="2"/>
        <v>1759.5746342507157</v>
      </c>
    </row>
    <row r="35" spans="1:16" ht="12.75">
      <c r="A35" s="227">
        <v>3</v>
      </c>
      <c r="B35" s="51" t="s">
        <v>44</v>
      </c>
      <c r="C35" s="212" t="s">
        <v>52</v>
      </c>
      <c r="D35" s="212">
        <v>177</v>
      </c>
      <c r="E35" s="215">
        <v>4</v>
      </c>
      <c r="F35" s="215">
        <v>0.91</v>
      </c>
      <c r="G35" s="300">
        <f t="shared" si="0"/>
        <v>644.28</v>
      </c>
      <c r="H35" s="362">
        <f t="shared" si="3"/>
        <v>15096.353311040657</v>
      </c>
      <c r="I35" s="227">
        <v>3</v>
      </c>
      <c r="J35" s="51" t="s">
        <v>44</v>
      </c>
      <c r="K35" s="212" t="s">
        <v>52</v>
      </c>
      <c r="L35" s="212">
        <v>320</v>
      </c>
      <c r="M35" s="215">
        <v>4</v>
      </c>
      <c r="N35" s="215">
        <v>0.91</v>
      </c>
      <c r="O35" s="300">
        <f t="shared" si="1"/>
        <v>1164.8</v>
      </c>
      <c r="P35" s="291">
        <f t="shared" si="2"/>
        <v>23460.995123342876</v>
      </c>
    </row>
    <row r="36" spans="1:16" ht="12.75">
      <c r="A36" s="227">
        <v>4</v>
      </c>
      <c r="B36" s="51" t="s">
        <v>46</v>
      </c>
      <c r="C36" s="212" t="s">
        <v>52</v>
      </c>
      <c r="D36" s="212">
        <v>310</v>
      </c>
      <c r="E36" s="215">
        <v>4</v>
      </c>
      <c r="F36" s="215">
        <v>0.3</v>
      </c>
      <c r="G36" s="300">
        <f t="shared" si="0"/>
        <v>372</v>
      </c>
      <c r="H36" s="362">
        <f t="shared" si="3"/>
        <v>8716.464008982313</v>
      </c>
      <c r="I36" s="227">
        <v>4</v>
      </c>
      <c r="J36" s="51" t="s">
        <v>46</v>
      </c>
      <c r="K36" s="212" t="s">
        <v>52</v>
      </c>
      <c r="L36" s="212">
        <v>310</v>
      </c>
      <c r="M36" s="215">
        <v>4</v>
      </c>
      <c r="N36" s="215">
        <v>0.3</v>
      </c>
      <c r="O36" s="300">
        <f t="shared" si="1"/>
        <v>372</v>
      </c>
      <c r="P36" s="291">
        <f t="shared" si="2"/>
        <v>7492.694184309366</v>
      </c>
    </row>
    <row r="37" spans="1:16" ht="12.75">
      <c r="A37" s="227">
        <v>5</v>
      </c>
      <c r="B37" s="51" t="s">
        <v>47</v>
      </c>
      <c r="C37" s="212" t="s">
        <v>52</v>
      </c>
      <c r="D37" s="212">
        <v>350</v>
      </c>
      <c r="E37" s="215">
        <v>4</v>
      </c>
      <c r="F37" s="215">
        <v>0.91</v>
      </c>
      <c r="G37" s="300">
        <f t="shared" si="0"/>
        <v>1274</v>
      </c>
      <c r="H37" s="362">
        <f t="shared" si="3"/>
        <v>29851.546095278136</v>
      </c>
      <c r="I37" s="227">
        <v>5</v>
      </c>
      <c r="J37" s="51" t="s">
        <v>47</v>
      </c>
      <c r="K37" s="212" t="s">
        <v>52</v>
      </c>
      <c r="L37" s="212">
        <v>350</v>
      </c>
      <c r="M37" s="215">
        <v>4</v>
      </c>
      <c r="N37" s="215">
        <v>0.91</v>
      </c>
      <c r="O37" s="300">
        <f t="shared" si="1"/>
        <v>1274</v>
      </c>
      <c r="P37" s="291">
        <f t="shared" si="2"/>
        <v>25660.46341615627</v>
      </c>
    </row>
    <row r="38" spans="1:16" ht="12.75">
      <c r="A38" s="227">
        <v>6</v>
      </c>
      <c r="B38" s="51" t="s">
        <v>48</v>
      </c>
      <c r="C38" s="212" t="s">
        <v>53</v>
      </c>
      <c r="D38" s="222">
        <v>27.7</v>
      </c>
      <c r="E38" s="215">
        <v>3</v>
      </c>
      <c r="F38" s="215">
        <v>6.25</v>
      </c>
      <c r="G38" s="300">
        <f t="shared" si="0"/>
        <v>519.375</v>
      </c>
      <c r="H38" s="362">
        <f t="shared" si="3"/>
        <v>12169.659931895669</v>
      </c>
      <c r="I38" s="227">
        <v>6</v>
      </c>
      <c r="J38" s="51" t="s">
        <v>48</v>
      </c>
      <c r="K38" s="212" t="s">
        <v>53</v>
      </c>
      <c r="L38" s="220">
        <v>75.39</v>
      </c>
      <c r="M38" s="215">
        <v>6</v>
      </c>
      <c r="N38" s="215">
        <v>6.25</v>
      </c>
      <c r="O38" s="300">
        <f t="shared" si="1"/>
        <v>2827.125</v>
      </c>
      <c r="P38" s="291">
        <f t="shared" si="2"/>
        <v>56942.9651769237</v>
      </c>
    </row>
    <row r="39" spans="1:16" ht="12.75">
      <c r="A39" s="227">
        <v>7</v>
      </c>
      <c r="B39" s="51" t="s">
        <v>49</v>
      </c>
      <c r="C39" s="212" t="s">
        <v>53</v>
      </c>
      <c r="D39" s="211">
        <v>97.04</v>
      </c>
      <c r="E39" s="215">
        <v>3</v>
      </c>
      <c r="F39" s="215">
        <v>0.31</v>
      </c>
      <c r="G39" s="300">
        <f t="shared" si="0"/>
        <v>90.2472</v>
      </c>
      <c r="H39" s="362">
        <f t="shared" si="3"/>
        <v>2114.6141685791094</v>
      </c>
      <c r="I39" s="227">
        <v>7</v>
      </c>
      <c r="J39" s="51" t="s">
        <v>49</v>
      </c>
      <c r="K39" s="212" t="s">
        <v>53</v>
      </c>
      <c r="L39" s="220">
        <v>323.47</v>
      </c>
      <c r="M39" s="215">
        <v>6</v>
      </c>
      <c r="N39" s="215">
        <v>0.31</v>
      </c>
      <c r="O39" s="300">
        <f t="shared" si="1"/>
        <v>601.6542000000001</v>
      </c>
      <c r="P39" s="291">
        <f t="shared" si="2"/>
        <v>12118.308938992755</v>
      </c>
    </row>
    <row r="40" spans="1:16" ht="12.75">
      <c r="A40" s="227">
        <v>8</v>
      </c>
      <c r="B40" s="51" t="s">
        <v>223</v>
      </c>
      <c r="C40" s="212" t="s">
        <v>53</v>
      </c>
      <c r="D40" s="211">
        <v>61.18</v>
      </c>
      <c r="E40" s="215">
        <v>32</v>
      </c>
      <c r="F40" s="215">
        <v>0.162</v>
      </c>
      <c r="G40" s="300">
        <f t="shared" si="0"/>
        <v>317.15712</v>
      </c>
      <c r="H40" s="362">
        <f t="shared" si="3"/>
        <v>7431.421026001303</v>
      </c>
      <c r="I40" s="227">
        <v>8</v>
      </c>
      <c r="J40" s="51" t="s">
        <v>223</v>
      </c>
      <c r="K40" s="212" t="s">
        <v>53</v>
      </c>
      <c r="L40" s="220">
        <v>61.18</v>
      </c>
      <c r="M40" s="215">
        <v>32</v>
      </c>
      <c r="N40" s="215">
        <v>0.162</v>
      </c>
      <c r="O40" s="300">
        <f t="shared" si="1"/>
        <v>317.15712</v>
      </c>
      <c r="P40" s="291">
        <f t="shared" si="2"/>
        <v>6388.068033699752</v>
      </c>
    </row>
    <row r="41" spans="1:16" ht="12.75">
      <c r="A41" s="227">
        <v>9</v>
      </c>
      <c r="B41" s="51" t="s">
        <v>513</v>
      </c>
      <c r="C41" s="212" t="s">
        <v>251</v>
      </c>
      <c r="D41" s="220">
        <v>10</v>
      </c>
      <c r="E41" s="215">
        <v>2</v>
      </c>
      <c r="F41" s="215">
        <v>1.1</v>
      </c>
      <c r="G41" s="300">
        <f t="shared" si="0"/>
        <v>22</v>
      </c>
      <c r="H41" s="362">
        <f t="shared" si="3"/>
        <v>515.489806982825</v>
      </c>
      <c r="I41" s="227">
        <v>9</v>
      </c>
      <c r="J41" s="51" t="s">
        <v>513</v>
      </c>
      <c r="K41" s="212" t="s">
        <v>251</v>
      </c>
      <c r="L41" s="220">
        <v>10</v>
      </c>
      <c r="M41" s="215">
        <v>2</v>
      </c>
      <c r="N41" s="215">
        <v>1.1</v>
      </c>
      <c r="O41" s="300">
        <f t="shared" si="1"/>
        <v>22</v>
      </c>
      <c r="P41" s="291">
        <f t="shared" si="2"/>
        <v>443.1163227279733</v>
      </c>
    </row>
    <row r="42" spans="1:16" ht="12.75">
      <c r="A42" s="227">
        <v>10</v>
      </c>
      <c r="B42" s="51" t="s">
        <v>514</v>
      </c>
      <c r="C42" s="212" t="s">
        <v>254</v>
      </c>
      <c r="D42" s="220">
        <v>100</v>
      </c>
      <c r="E42" s="215">
        <v>2</v>
      </c>
      <c r="F42" s="215">
        <v>0.37</v>
      </c>
      <c r="G42" s="300">
        <f t="shared" si="0"/>
        <v>74</v>
      </c>
      <c r="H42" s="362">
        <f t="shared" si="3"/>
        <v>1733.9202598513205</v>
      </c>
      <c r="I42" s="227">
        <v>10</v>
      </c>
      <c r="J42" s="51" t="s">
        <v>514</v>
      </c>
      <c r="K42" s="212" t="s">
        <v>254</v>
      </c>
      <c r="L42" s="220">
        <v>100</v>
      </c>
      <c r="M42" s="215">
        <v>2</v>
      </c>
      <c r="N42" s="215">
        <v>0.37</v>
      </c>
      <c r="O42" s="300">
        <f t="shared" si="1"/>
        <v>74</v>
      </c>
      <c r="P42" s="291">
        <f t="shared" si="2"/>
        <v>1490.4821764486373</v>
      </c>
    </row>
    <row r="43" spans="1:16" ht="12.75">
      <c r="A43" s="227">
        <v>11</v>
      </c>
      <c r="B43" s="51" t="s">
        <v>631</v>
      </c>
      <c r="C43" s="212" t="s">
        <v>295</v>
      </c>
      <c r="D43" s="220">
        <v>70</v>
      </c>
      <c r="E43" s="215">
        <v>1</v>
      </c>
      <c r="F43" s="215">
        <v>1.3</v>
      </c>
      <c r="G43" s="300">
        <f t="shared" si="0"/>
        <v>91</v>
      </c>
      <c r="H43" s="362">
        <f t="shared" si="3"/>
        <v>2132.253292519867</v>
      </c>
      <c r="I43" s="227">
        <v>11</v>
      </c>
      <c r="J43" s="51" t="s">
        <v>530</v>
      </c>
      <c r="K43" s="212" t="s">
        <v>295</v>
      </c>
      <c r="L43" s="220">
        <v>70</v>
      </c>
      <c r="M43" s="215">
        <v>1</v>
      </c>
      <c r="N43" s="215">
        <v>1.3</v>
      </c>
      <c r="O43" s="300">
        <f t="shared" si="1"/>
        <v>91</v>
      </c>
      <c r="P43" s="291">
        <f t="shared" si="2"/>
        <v>1832.8902440111622</v>
      </c>
    </row>
    <row r="44" spans="1:16" ht="12.75">
      <c r="A44" s="227"/>
      <c r="B44" s="51" t="s">
        <v>515</v>
      </c>
      <c r="C44" s="212"/>
      <c r="D44" s="220"/>
      <c r="E44" s="215"/>
      <c r="F44" s="215"/>
      <c r="G44" s="300">
        <f t="shared" si="0"/>
        <v>0</v>
      </c>
      <c r="H44" s="362">
        <f t="shared" si="3"/>
        <v>0</v>
      </c>
      <c r="I44" s="227"/>
      <c r="J44" s="51" t="s">
        <v>515</v>
      </c>
      <c r="K44" s="212"/>
      <c r="L44" s="220"/>
      <c r="M44" s="215"/>
      <c r="N44" s="215"/>
      <c r="O44" s="300">
        <f t="shared" si="1"/>
        <v>0</v>
      </c>
      <c r="P44" s="291">
        <f t="shared" si="2"/>
        <v>0</v>
      </c>
    </row>
    <row r="45" spans="1:16" ht="12.75">
      <c r="A45" s="227"/>
      <c r="B45" s="51" t="s">
        <v>516</v>
      </c>
      <c r="C45" s="212"/>
      <c r="D45" s="220"/>
      <c r="E45" s="215"/>
      <c r="F45" s="215"/>
      <c r="G45" s="300">
        <f t="shared" si="0"/>
        <v>0</v>
      </c>
      <c r="H45" s="362">
        <f t="shared" si="3"/>
        <v>0</v>
      </c>
      <c r="I45" s="227"/>
      <c r="J45" s="51" t="s">
        <v>516</v>
      </c>
      <c r="K45" s="212"/>
      <c r="L45" s="220"/>
      <c r="M45" s="215"/>
      <c r="N45" s="215"/>
      <c r="O45" s="300">
        <f t="shared" si="1"/>
        <v>0</v>
      </c>
      <c r="P45" s="291">
        <f t="shared" si="2"/>
        <v>0</v>
      </c>
    </row>
    <row r="46" spans="1:16" ht="12.75">
      <c r="A46" s="227">
        <v>12</v>
      </c>
      <c r="B46" s="51" t="s">
        <v>482</v>
      </c>
      <c r="C46" s="212" t="s">
        <v>61</v>
      </c>
      <c r="D46" s="302">
        <f>16*4</f>
        <v>64</v>
      </c>
      <c r="E46" s="215">
        <v>10</v>
      </c>
      <c r="F46" s="215">
        <v>1</v>
      </c>
      <c r="G46" s="300">
        <f t="shared" si="0"/>
        <v>640</v>
      </c>
      <c r="H46" s="362">
        <f t="shared" si="3"/>
        <v>14996.067112227636</v>
      </c>
      <c r="I46" s="227">
        <v>12</v>
      </c>
      <c r="J46" s="51" t="s">
        <v>482</v>
      </c>
      <c r="K46" s="212" t="s">
        <v>61</v>
      </c>
      <c r="L46" s="302">
        <f>16*5</f>
        <v>80</v>
      </c>
      <c r="M46" s="215">
        <v>10</v>
      </c>
      <c r="N46" s="215">
        <v>1</v>
      </c>
      <c r="O46" s="300">
        <f t="shared" si="1"/>
        <v>800</v>
      </c>
      <c r="P46" s="291">
        <f t="shared" si="2"/>
        <v>16113.320826471756</v>
      </c>
    </row>
    <row r="47" spans="1:16" ht="12.75">
      <c r="A47" s="227"/>
      <c r="B47" s="51" t="s">
        <v>479</v>
      </c>
      <c r="C47" s="212" t="s">
        <v>61</v>
      </c>
      <c r="D47" s="220">
        <f>54+104+3</f>
        <v>161</v>
      </c>
      <c r="E47" s="215">
        <v>1</v>
      </c>
      <c r="F47" s="215">
        <v>1</v>
      </c>
      <c r="G47" s="300">
        <f t="shared" si="0"/>
        <v>161</v>
      </c>
      <c r="H47" s="362">
        <f t="shared" si="3"/>
        <v>3772.4481329197647</v>
      </c>
      <c r="I47" s="227"/>
      <c r="J47" s="51" t="s">
        <v>479</v>
      </c>
      <c r="K47" s="212" t="s">
        <v>61</v>
      </c>
      <c r="L47" s="220">
        <f>54+104+3</f>
        <v>161</v>
      </c>
      <c r="M47" s="215">
        <v>1</v>
      </c>
      <c r="N47" s="215">
        <v>1</v>
      </c>
      <c r="O47" s="300">
        <f t="shared" si="1"/>
        <v>161</v>
      </c>
      <c r="P47" s="291">
        <f t="shared" si="2"/>
        <v>3242.805816327441</v>
      </c>
    </row>
    <row r="48" spans="1:16" ht="12.75">
      <c r="A48" s="227"/>
      <c r="B48" s="51" t="s">
        <v>480</v>
      </c>
      <c r="C48" s="212" t="s">
        <v>61</v>
      </c>
      <c r="D48" s="220">
        <f>64+80+3</f>
        <v>147</v>
      </c>
      <c r="E48" s="215">
        <v>1</v>
      </c>
      <c r="F48" s="215">
        <v>1</v>
      </c>
      <c r="G48" s="300">
        <f t="shared" si="0"/>
        <v>147</v>
      </c>
      <c r="H48" s="362">
        <f t="shared" si="3"/>
        <v>3444.4091648397853</v>
      </c>
      <c r="I48" s="227"/>
      <c r="J48" s="51" t="s">
        <v>480</v>
      </c>
      <c r="K48" s="212" t="s">
        <v>61</v>
      </c>
      <c r="L48" s="220">
        <f>64+80+3</f>
        <v>147</v>
      </c>
      <c r="M48" s="215">
        <v>1</v>
      </c>
      <c r="N48" s="215">
        <v>1</v>
      </c>
      <c r="O48" s="300">
        <f t="shared" si="1"/>
        <v>147</v>
      </c>
      <c r="P48" s="291">
        <f t="shared" si="2"/>
        <v>2960.822701864185</v>
      </c>
    </row>
    <row r="49" spans="1:16" ht="12.75">
      <c r="A49" s="227"/>
      <c r="B49" s="51" t="s">
        <v>481</v>
      </c>
      <c r="C49" s="212" t="s">
        <v>61</v>
      </c>
      <c r="D49" s="220">
        <f>48+4</f>
        <v>52</v>
      </c>
      <c r="E49" s="215">
        <v>1</v>
      </c>
      <c r="F49" s="215">
        <v>1</v>
      </c>
      <c r="G49" s="300">
        <f t="shared" si="0"/>
        <v>52</v>
      </c>
      <c r="H49" s="362">
        <f t="shared" si="3"/>
        <v>1218.4304528684954</v>
      </c>
      <c r="I49" s="227"/>
      <c r="J49" s="51" t="s">
        <v>481</v>
      </c>
      <c r="K49" s="212" t="s">
        <v>61</v>
      </c>
      <c r="L49" s="220">
        <f>48+4</f>
        <v>52</v>
      </c>
      <c r="M49" s="215">
        <v>1</v>
      </c>
      <c r="N49" s="215">
        <v>1</v>
      </c>
      <c r="O49" s="300">
        <f t="shared" si="1"/>
        <v>52</v>
      </c>
      <c r="P49" s="291">
        <f t="shared" si="2"/>
        <v>1047.365853720664</v>
      </c>
    </row>
    <row r="50" spans="1:16" ht="12.75">
      <c r="A50" s="227"/>
      <c r="B50" s="51" t="s">
        <v>503</v>
      </c>
      <c r="C50" s="212" t="s">
        <v>61</v>
      </c>
      <c r="D50" s="220">
        <f>96+4</f>
        <v>100</v>
      </c>
      <c r="E50" s="215">
        <v>1</v>
      </c>
      <c r="F50" s="215">
        <v>1</v>
      </c>
      <c r="G50" s="300">
        <f t="shared" si="0"/>
        <v>100</v>
      </c>
      <c r="H50" s="362">
        <f t="shared" si="3"/>
        <v>2343.1354862855683</v>
      </c>
      <c r="I50" s="227"/>
      <c r="J50" s="51" t="s">
        <v>503</v>
      </c>
      <c r="K50" s="212" t="s">
        <v>61</v>
      </c>
      <c r="L50" s="220">
        <f>96+4</f>
        <v>100</v>
      </c>
      <c r="M50" s="215">
        <v>1</v>
      </c>
      <c r="N50" s="215">
        <v>1</v>
      </c>
      <c r="O50" s="300">
        <f t="shared" si="1"/>
        <v>100</v>
      </c>
      <c r="P50" s="291">
        <f t="shared" si="2"/>
        <v>2014.1651033089695</v>
      </c>
    </row>
    <row r="51" spans="1:16" ht="12.75">
      <c r="A51" s="227"/>
      <c r="B51" s="51" t="s">
        <v>484</v>
      </c>
      <c r="C51" s="212" t="s">
        <v>61</v>
      </c>
      <c r="D51" s="220">
        <f>96+144</f>
        <v>240</v>
      </c>
      <c r="E51" s="215">
        <v>1</v>
      </c>
      <c r="F51" s="215">
        <v>1</v>
      </c>
      <c r="G51" s="300">
        <f t="shared" si="0"/>
        <v>240</v>
      </c>
      <c r="H51" s="362">
        <f t="shared" si="3"/>
        <v>5623.525167085363</v>
      </c>
      <c r="I51" s="227"/>
      <c r="J51" s="51" t="s">
        <v>484</v>
      </c>
      <c r="K51" s="212" t="s">
        <v>61</v>
      </c>
      <c r="L51" s="220">
        <f>96+144</f>
        <v>240</v>
      </c>
      <c r="M51" s="215">
        <v>1</v>
      </c>
      <c r="N51" s="215">
        <v>1</v>
      </c>
      <c r="O51" s="300">
        <f t="shared" si="1"/>
        <v>240</v>
      </c>
      <c r="P51" s="291">
        <f t="shared" si="2"/>
        <v>4833.996247941526</v>
      </c>
    </row>
    <row r="52" spans="1:16" ht="25.5">
      <c r="A52" s="227">
        <v>13</v>
      </c>
      <c r="B52" s="226" t="s">
        <v>50</v>
      </c>
      <c r="C52" s="212"/>
      <c r="D52" s="212"/>
      <c r="E52" s="215"/>
      <c r="F52" s="215"/>
      <c r="G52" s="300">
        <f t="shared" si="0"/>
        <v>0</v>
      </c>
      <c r="H52" s="362">
        <f t="shared" si="3"/>
        <v>0</v>
      </c>
      <c r="I52" s="227">
        <v>13</v>
      </c>
      <c r="J52" s="226" t="s">
        <v>50</v>
      </c>
      <c r="K52" s="212"/>
      <c r="L52" s="212"/>
      <c r="M52" s="215"/>
      <c r="N52" s="215"/>
      <c r="O52" s="300">
        <f t="shared" si="1"/>
        <v>0</v>
      </c>
      <c r="P52" s="291">
        <f t="shared" si="2"/>
        <v>0</v>
      </c>
    </row>
    <row r="53" spans="1:16" ht="12.75">
      <c r="A53" s="51"/>
      <c r="B53" s="51" t="s">
        <v>30</v>
      </c>
      <c r="C53" s="212" t="s">
        <v>53</v>
      </c>
      <c r="D53" s="222">
        <f>12000/100</f>
        <v>120</v>
      </c>
      <c r="E53" s="216">
        <v>24</v>
      </c>
      <c r="F53" s="216">
        <v>0.23</v>
      </c>
      <c r="G53" s="300">
        <f t="shared" si="0"/>
        <v>662.4</v>
      </c>
      <c r="H53" s="362">
        <f t="shared" si="3"/>
        <v>15520.929461155603</v>
      </c>
      <c r="I53" s="51"/>
      <c r="J53" s="51" t="s">
        <v>30</v>
      </c>
      <c r="K53" s="212" t="s">
        <v>53</v>
      </c>
      <c r="L53" s="222">
        <f>12000/100</f>
        <v>120</v>
      </c>
      <c r="M53" s="216">
        <v>24</v>
      </c>
      <c r="N53" s="216">
        <v>0.23</v>
      </c>
      <c r="O53" s="300">
        <f t="shared" si="1"/>
        <v>662.4</v>
      </c>
      <c r="P53" s="291">
        <f t="shared" si="2"/>
        <v>13341.829644318614</v>
      </c>
    </row>
    <row r="54" spans="1:16" ht="12.75">
      <c r="A54" s="227"/>
      <c r="B54" s="51" t="s">
        <v>31</v>
      </c>
      <c r="C54" s="212" t="s">
        <v>53</v>
      </c>
      <c r="D54" s="222">
        <f>6500/100</f>
        <v>65</v>
      </c>
      <c r="E54" s="216">
        <v>24</v>
      </c>
      <c r="F54" s="216">
        <v>0.23</v>
      </c>
      <c r="G54" s="300">
        <f t="shared" si="0"/>
        <v>358.8</v>
      </c>
      <c r="H54" s="362">
        <f t="shared" si="3"/>
        <v>8407.17012479262</v>
      </c>
      <c r="I54" s="227"/>
      <c r="J54" s="51" t="s">
        <v>31</v>
      </c>
      <c r="K54" s="212" t="s">
        <v>53</v>
      </c>
      <c r="L54" s="222">
        <f>6500/100</f>
        <v>65</v>
      </c>
      <c r="M54" s="216">
        <v>24</v>
      </c>
      <c r="N54" s="216">
        <v>0.23</v>
      </c>
      <c r="O54" s="300">
        <f t="shared" si="1"/>
        <v>358.8</v>
      </c>
      <c r="P54" s="291">
        <f t="shared" si="2"/>
        <v>7226.824390672582</v>
      </c>
    </row>
    <row r="55" spans="1:16" ht="12.75">
      <c r="A55" s="227"/>
      <c r="B55" s="51" t="s">
        <v>32</v>
      </c>
      <c r="C55" s="212" t="s">
        <v>53</v>
      </c>
      <c r="D55" s="212">
        <f>5166/100</f>
        <v>51.66</v>
      </c>
      <c r="E55" s="216">
        <v>24</v>
      </c>
      <c r="F55" s="216">
        <v>0.23</v>
      </c>
      <c r="G55" s="300">
        <f t="shared" si="0"/>
        <v>285.1632</v>
      </c>
      <c r="H55" s="362">
        <f t="shared" si="3"/>
        <v>6681.760133027487</v>
      </c>
      <c r="I55" s="227"/>
      <c r="J55" s="51" t="s">
        <v>32</v>
      </c>
      <c r="K55" s="212" t="s">
        <v>53</v>
      </c>
      <c r="L55" s="212">
        <f>5166/100</f>
        <v>51.66</v>
      </c>
      <c r="M55" s="216">
        <v>24</v>
      </c>
      <c r="N55" s="216">
        <v>0.23</v>
      </c>
      <c r="O55" s="300">
        <f t="shared" si="1"/>
        <v>285.1632</v>
      </c>
      <c r="P55" s="291">
        <f t="shared" si="2"/>
        <v>5743.657661879163</v>
      </c>
    </row>
    <row r="56" spans="1:16" ht="12.75">
      <c r="A56" s="227"/>
      <c r="B56" s="51" t="s">
        <v>33</v>
      </c>
      <c r="C56" s="212" t="s">
        <v>53</v>
      </c>
      <c r="D56" s="212">
        <f>1050/100</f>
        <v>10.5</v>
      </c>
      <c r="E56" s="216">
        <v>24</v>
      </c>
      <c r="F56" s="216">
        <v>0.23</v>
      </c>
      <c r="G56" s="300">
        <f t="shared" si="0"/>
        <v>57.96</v>
      </c>
      <c r="H56" s="362">
        <f t="shared" si="3"/>
        <v>1358.0813278511152</v>
      </c>
      <c r="I56" s="227"/>
      <c r="J56" s="51" t="s">
        <v>33</v>
      </c>
      <c r="K56" s="212" t="s">
        <v>53</v>
      </c>
      <c r="L56" s="212">
        <f>1050/100</f>
        <v>10.5</v>
      </c>
      <c r="M56" s="216">
        <v>24</v>
      </c>
      <c r="N56" s="216">
        <v>0.23</v>
      </c>
      <c r="O56" s="300">
        <f t="shared" si="1"/>
        <v>57.96</v>
      </c>
      <c r="P56" s="291">
        <f t="shared" si="2"/>
        <v>1167.4100938778786</v>
      </c>
    </row>
    <row r="57" spans="1:16" ht="12.75">
      <c r="A57" s="227"/>
      <c r="B57" s="51" t="s">
        <v>34</v>
      </c>
      <c r="C57" s="212" t="s">
        <v>53</v>
      </c>
      <c r="D57" s="212">
        <v>70.26</v>
      </c>
      <c r="E57" s="216">
        <v>24</v>
      </c>
      <c r="F57" s="216">
        <v>0.23</v>
      </c>
      <c r="G57" s="300">
        <f t="shared" si="0"/>
        <v>387.83520000000004</v>
      </c>
      <c r="H57" s="362">
        <f t="shared" si="3"/>
        <v>9087.504199506606</v>
      </c>
      <c r="I57" s="227"/>
      <c r="J57" s="51" t="s">
        <v>34</v>
      </c>
      <c r="K57" s="212" t="s">
        <v>53</v>
      </c>
      <c r="L57" s="212">
        <v>70.26</v>
      </c>
      <c r="M57" s="216">
        <v>24</v>
      </c>
      <c r="N57" s="216">
        <v>0.23</v>
      </c>
      <c r="O57" s="300">
        <f t="shared" si="1"/>
        <v>387.83520000000004</v>
      </c>
      <c r="P57" s="291">
        <f t="shared" si="2"/>
        <v>7811.641256748549</v>
      </c>
    </row>
    <row r="58" spans="1:16" ht="12.75">
      <c r="A58" s="227"/>
      <c r="B58" s="51" t="s">
        <v>35</v>
      </c>
      <c r="C58" s="212" t="s">
        <v>53</v>
      </c>
      <c r="D58" s="212">
        <v>40.26</v>
      </c>
      <c r="E58" s="216">
        <v>24</v>
      </c>
      <c r="F58" s="216">
        <v>0.23</v>
      </c>
      <c r="G58" s="300">
        <f t="shared" si="0"/>
        <v>222.23520000000002</v>
      </c>
      <c r="H58" s="362">
        <f t="shared" si="3"/>
        <v>5207.271834217705</v>
      </c>
      <c r="I58" s="227"/>
      <c r="J58" s="51" t="s">
        <v>35</v>
      </c>
      <c r="K58" s="212" t="s">
        <v>53</v>
      </c>
      <c r="L58" s="212">
        <v>40.26</v>
      </c>
      <c r="M58" s="216">
        <v>24</v>
      </c>
      <c r="N58" s="216">
        <v>0.23</v>
      </c>
      <c r="O58" s="300">
        <f t="shared" si="1"/>
        <v>222.23520000000002</v>
      </c>
      <c r="P58" s="291">
        <f t="shared" si="2"/>
        <v>4476.183845668896</v>
      </c>
    </row>
    <row r="59" spans="1:16" ht="12.75">
      <c r="A59" s="227"/>
      <c r="B59" s="51" t="s">
        <v>36</v>
      </c>
      <c r="C59" s="212" t="s">
        <v>53</v>
      </c>
      <c r="D59" s="222">
        <v>66</v>
      </c>
      <c r="E59" s="216">
        <v>24</v>
      </c>
      <c r="F59" s="216">
        <v>0.23</v>
      </c>
      <c r="G59" s="300">
        <f t="shared" si="0"/>
        <v>364.32</v>
      </c>
      <c r="H59" s="362">
        <f t="shared" si="3"/>
        <v>8536.511203635582</v>
      </c>
      <c r="I59" s="227"/>
      <c r="J59" s="51" t="s">
        <v>36</v>
      </c>
      <c r="K59" s="212" t="s">
        <v>53</v>
      </c>
      <c r="L59" s="222">
        <v>66</v>
      </c>
      <c r="M59" s="216">
        <v>24</v>
      </c>
      <c r="N59" s="216">
        <v>0.23</v>
      </c>
      <c r="O59" s="300">
        <f t="shared" si="1"/>
        <v>364.32</v>
      </c>
      <c r="P59" s="291">
        <f t="shared" si="2"/>
        <v>7338.006304375237</v>
      </c>
    </row>
    <row r="60" spans="1:16" ht="12.75">
      <c r="A60" s="227"/>
      <c r="B60" s="51" t="s">
        <v>37</v>
      </c>
      <c r="C60" s="212" t="s">
        <v>53</v>
      </c>
      <c r="D60" s="222">
        <v>19.8</v>
      </c>
      <c r="E60" s="216">
        <v>24</v>
      </c>
      <c r="F60" s="216">
        <v>0.23</v>
      </c>
      <c r="G60" s="300">
        <f t="shared" si="0"/>
        <v>109.29600000000002</v>
      </c>
      <c r="H60" s="362">
        <f t="shared" si="3"/>
        <v>2560.953361090675</v>
      </c>
      <c r="I60" s="227"/>
      <c r="J60" s="51" t="s">
        <v>37</v>
      </c>
      <c r="K60" s="212" t="s">
        <v>53</v>
      </c>
      <c r="L60" s="222">
        <v>19.8</v>
      </c>
      <c r="M60" s="216">
        <v>24</v>
      </c>
      <c r="N60" s="216">
        <v>0.23</v>
      </c>
      <c r="O60" s="300">
        <f t="shared" si="1"/>
        <v>109.29600000000002</v>
      </c>
      <c r="P60" s="291">
        <f t="shared" si="2"/>
        <v>2201.4018913125715</v>
      </c>
    </row>
    <row r="61" spans="1:16" ht="12.75">
      <c r="A61" s="227"/>
      <c r="B61" s="51" t="s">
        <v>38</v>
      </c>
      <c r="C61" s="212" t="s">
        <v>53</v>
      </c>
      <c r="D61" s="212">
        <v>28.8</v>
      </c>
      <c r="E61" s="216">
        <v>24</v>
      </c>
      <c r="F61" s="216">
        <v>0.23</v>
      </c>
      <c r="G61" s="300">
        <f t="shared" si="0"/>
        <v>158.97600000000003</v>
      </c>
      <c r="H61" s="362">
        <f t="shared" si="3"/>
        <v>3725.0230706773455</v>
      </c>
      <c r="I61" s="227"/>
      <c r="J61" s="51" t="s">
        <v>38</v>
      </c>
      <c r="K61" s="212" t="s">
        <v>53</v>
      </c>
      <c r="L61" s="212">
        <v>28.8</v>
      </c>
      <c r="M61" s="216">
        <v>24</v>
      </c>
      <c r="N61" s="216">
        <v>0.23</v>
      </c>
      <c r="O61" s="300">
        <f t="shared" si="1"/>
        <v>158.97600000000003</v>
      </c>
      <c r="P61" s="291">
        <f t="shared" si="2"/>
        <v>3202.0391146364677</v>
      </c>
    </row>
    <row r="62" spans="1:16" ht="12.75">
      <c r="A62" s="227"/>
      <c r="B62" s="51" t="s">
        <v>39</v>
      </c>
      <c r="C62" s="212" t="s">
        <v>53</v>
      </c>
      <c r="D62" s="222">
        <v>20</v>
      </c>
      <c r="E62" s="216">
        <v>24</v>
      </c>
      <c r="F62" s="216">
        <v>0.23</v>
      </c>
      <c r="G62" s="300">
        <f t="shared" si="0"/>
        <v>110.4</v>
      </c>
      <c r="H62" s="362">
        <f t="shared" si="3"/>
        <v>2586.821576859267</v>
      </c>
      <c r="I62" s="227"/>
      <c r="J62" s="51" t="s">
        <v>39</v>
      </c>
      <c r="K62" s="212" t="s">
        <v>53</v>
      </c>
      <c r="L62" s="222">
        <v>20</v>
      </c>
      <c r="M62" s="216">
        <v>24</v>
      </c>
      <c r="N62" s="216">
        <v>0.23</v>
      </c>
      <c r="O62" s="300">
        <f t="shared" si="1"/>
        <v>110.4</v>
      </c>
      <c r="P62" s="291">
        <f t="shared" si="2"/>
        <v>2223.638274053102</v>
      </c>
    </row>
    <row r="63" spans="1:16" ht="12.75">
      <c r="A63" s="227"/>
      <c r="B63" s="51" t="s">
        <v>54</v>
      </c>
      <c r="C63" s="212" t="s">
        <v>53</v>
      </c>
      <c r="D63" s="212">
        <v>36.68</v>
      </c>
      <c r="E63" s="216">
        <v>24</v>
      </c>
      <c r="F63" s="216">
        <v>0.23</v>
      </c>
      <c r="G63" s="300">
        <f t="shared" si="0"/>
        <v>202.4736</v>
      </c>
      <c r="H63" s="362">
        <f t="shared" si="3"/>
        <v>4744.230771959896</v>
      </c>
      <c r="I63" s="227"/>
      <c r="J63" s="51" t="s">
        <v>54</v>
      </c>
      <c r="K63" s="212" t="s">
        <v>53</v>
      </c>
      <c r="L63" s="212">
        <v>36.68</v>
      </c>
      <c r="M63" s="216">
        <v>24</v>
      </c>
      <c r="N63" s="216">
        <v>0.23</v>
      </c>
      <c r="O63" s="300">
        <f t="shared" si="1"/>
        <v>202.4736</v>
      </c>
      <c r="P63" s="291">
        <f t="shared" si="2"/>
        <v>4078.1525946133897</v>
      </c>
    </row>
    <row r="64" spans="1:16" ht="12.75">
      <c r="A64" s="227"/>
      <c r="B64" s="51" t="s">
        <v>55</v>
      </c>
      <c r="C64" s="212" t="s">
        <v>53</v>
      </c>
      <c r="D64" s="212">
        <v>11.57</v>
      </c>
      <c r="E64" s="216">
        <v>24</v>
      </c>
      <c r="F64" s="216">
        <v>0.23</v>
      </c>
      <c r="G64" s="300">
        <f t="shared" si="0"/>
        <v>63.866400000000006</v>
      </c>
      <c r="H64" s="362">
        <f t="shared" si="3"/>
        <v>1496.4762822130863</v>
      </c>
      <c r="I64" s="227"/>
      <c r="J64" s="51" t="s">
        <v>55</v>
      </c>
      <c r="K64" s="212" t="s">
        <v>53</v>
      </c>
      <c r="L64" s="212">
        <v>11.57</v>
      </c>
      <c r="M64" s="216">
        <v>24</v>
      </c>
      <c r="N64" s="216">
        <v>0.23</v>
      </c>
      <c r="O64" s="300">
        <f t="shared" si="1"/>
        <v>63.866400000000006</v>
      </c>
      <c r="P64" s="291">
        <f t="shared" si="2"/>
        <v>1286.3747415397197</v>
      </c>
    </row>
    <row r="65" spans="1:16" ht="12.75">
      <c r="A65" s="227"/>
      <c r="B65" s="51" t="s">
        <v>56</v>
      </c>
      <c r="C65" s="212" t="s">
        <v>53</v>
      </c>
      <c r="D65" s="212">
        <v>11.42</v>
      </c>
      <c r="E65" s="216">
        <v>24</v>
      </c>
      <c r="F65" s="216">
        <v>0.23</v>
      </c>
      <c r="G65" s="300">
        <f t="shared" si="0"/>
        <v>63.038399999999996</v>
      </c>
      <c r="H65" s="362">
        <f t="shared" si="3"/>
        <v>1477.0751203866414</v>
      </c>
      <c r="I65" s="227"/>
      <c r="J65" s="51" t="s">
        <v>56</v>
      </c>
      <c r="K65" s="212" t="s">
        <v>53</v>
      </c>
      <c r="L65" s="212">
        <v>11.42</v>
      </c>
      <c r="M65" s="216">
        <v>24</v>
      </c>
      <c r="N65" s="216">
        <v>0.23</v>
      </c>
      <c r="O65" s="300">
        <f t="shared" si="1"/>
        <v>63.038399999999996</v>
      </c>
      <c r="P65" s="291">
        <f t="shared" si="2"/>
        <v>1269.6974544843213</v>
      </c>
    </row>
    <row r="66" spans="1:16" ht="12.75">
      <c r="A66" s="227"/>
      <c r="B66" s="51" t="s">
        <v>41</v>
      </c>
      <c r="C66" s="212" t="s">
        <v>53</v>
      </c>
      <c r="D66" s="212">
        <v>17.5</v>
      </c>
      <c r="E66" s="216">
        <v>24</v>
      </c>
      <c r="F66" s="216">
        <v>0.23</v>
      </c>
      <c r="G66" s="300">
        <f t="shared" si="0"/>
        <v>96.60000000000001</v>
      </c>
      <c r="H66" s="362">
        <f t="shared" si="3"/>
        <v>2263.468879751859</v>
      </c>
      <c r="I66" s="227"/>
      <c r="J66" s="51" t="s">
        <v>41</v>
      </c>
      <c r="K66" s="212" t="s">
        <v>53</v>
      </c>
      <c r="L66" s="212">
        <v>17.5</v>
      </c>
      <c r="M66" s="216">
        <v>24</v>
      </c>
      <c r="N66" s="216">
        <v>0.23</v>
      </c>
      <c r="O66" s="300">
        <f t="shared" si="1"/>
        <v>96.60000000000001</v>
      </c>
      <c r="P66" s="291">
        <f t="shared" si="2"/>
        <v>1945.6834897964645</v>
      </c>
    </row>
    <row r="67" spans="1:16" ht="12.75">
      <c r="A67" s="227"/>
      <c r="B67" s="51" t="s">
        <v>42</v>
      </c>
      <c r="C67" s="212" t="s">
        <v>53</v>
      </c>
      <c r="D67" s="212">
        <v>11.48</v>
      </c>
      <c r="E67" s="216">
        <v>24</v>
      </c>
      <c r="F67" s="216">
        <v>0.23</v>
      </c>
      <c r="G67" s="300">
        <f t="shared" si="0"/>
        <v>63.3696</v>
      </c>
      <c r="H67" s="362">
        <f t="shared" si="3"/>
        <v>1484.8355851172194</v>
      </c>
      <c r="I67" s="227"/>
      <c r="J67" s="51" t="s">
        <v>42</v>
      </c>
      <c r="K67" s="212" t="s">
        <v>53</v>
      </c>
      <c r="L67" s="212">
        <f>595/100</f>
        <v>5.95</v>
      </c>
      <c r="M67" s="216">
        <v>24</v>
      </c>
      <c r="N67" s="216">
        <v>0.23</v>
      </c>
      <c r="O67" s="300">
        <f t="shared" si="1"/>
        <v>32.844</v>
      </c>
      <c r="P67" s="291">
        <f t="shared" si="2"/>
        <v>661.5323865307979</v>
      </c>
    </row>
    <row r="68" spans="1:16" ht="38.25">
      <c r="A68" s="227">
        <v>14</v>
      </c>
      <c r="B68" s="226" t="s">
        <v>519</v>
      </c>
      <c r="C68" s="212"/>
      <c r="D68" s="212"/>
      <c r="E68" s="216"/>
      <c r="F68" s="216"/>
      <c r="G68" s="300">
        <f t="shared" si="0"/>
        <v>0</v>
      </c>
      <c r="H68" s="362">
        <f t="shared" si="3"/>
        <v>0</v>
      </c>
      <c r="I68" s="227">
        <v>14</v>
      </c>
      <c r="J68" s="226" t="s">
        <v>519</v>
      </c>
      <c r="K68" s="212"/>
      <c r="L68" s="212"/>
      <c r="M68" s="216"/>
      <c r="N68" s="216"/>
      <c r="O68" s="300">
        <f t="shared" si="1"/>
        <v>0</v>
      </c>
      <c r="P68" s="291">
        <f t="shared" si="2"/>
        <v>0</v>
      </c>
    </row>
    <row r="69" spans="1:16" ht="12.75">
      <c r="A69" s="227"/>
      <c r="B69" s="51" t="s">
        <v>347</v>
      </c>
      <c r="C69" s="212" t="s">
        <v>53</v>
      </c>
      <c r="D69" s="212">
        <v>194.25</v>
      </c>
      <c r="E69" s="243">
        <v>24</v>
      </c>
      <c r="F69" s="243">
        <v>0.23</v>
      </c>
      <c r="G69" s="300">
        <f t="shared" si="0"/>
        <v>1072.26</v>
      </c>
      <c r="H69" s="362">
        <f t="shared" si="3"/>
        <v>25124.504565245632</v>
      </c>
      <c r="I69" s="227"/>
      <c r="J69" s="51" t="s">
        <v>347</v>
      </c>
      <c r="K69" s="212" t="s">
        <v>53</v>
      </c>
      <c r="L69" s="212">
        <v>194.25</v>
      </c>
      <c r="M69" s="243">
        <v>24</v>
      </c>
      <c r="N69" s="243">
        <v>0.23</v>
      </c>
      <c r="O69" s="300">
        <f t="shared" si="1"/>
        <v>1072.26</v>
      </c>
      <c r="P69" s="291">
        <f t="shared" si="2"/>
        <v>21597.086736740755</v>
      </c>
    </row>
    <row r="70" spans="1:16" ht="12.75">
      <c r="A70" s="227"/>
      <c r="B70" s="51" t="s">
        <v>348</v>
      </c>
      <c r="C70" s="212" t="s">
        <v>53</v>
      </c>
      <c r="D70" s="212">
        <v>272.02</v>
      </c>
      <c r="E70" s="243">
        <v>24</v>
      </c>
      <c r="F70" s="243">
        <v>0.23</v>
      </c>
      <c r="G70" s="300">
        <f t="shared" si="0"/>
        <v>1501.5503999999999</v>
      </c>
      <c r="H70" s="362">
        <f t="shared" si="3"/>
        <v>35183.36026686289</v>
      </c>
      <c r="I70" s="227"/>
      <c r="J70" s="51" t="s">
        <v>348</v>
      </c>
      <c r="K70" s="212" t="s">
        <v>53</v>
      </c>
      <c r="L70" s="212">
        <v>272.02</v>
      </c>
      <c r="M70" s="243">
        <v>24</v>
      </c>
      <c r="N70" s="243">
        <v>0.23</v>
      </c>
      <c r="O70" s="300">
        <f t="shared" si="1"/>
        <v>1501.5503999999999</v>
      </c>
      <c r="P70" s="291">
        <f t="shared" si="2"/>
        <v>30243.70416539624</v>
      </c>
    </row>
    <row r="71" spans="1:16" ht="12.75">
      <c r="A71" s="227"/>
      <c r="B71" s="51" t="s">
        <v>349</v>
      </c>
      <c r="C71" s="212" t="s">
        <v>53</v>
      </c>
      <c r="D71" s="212">
        <v>112.38</v>
      </c>
      <c r="E71" s="243">
        <v>24</v>
      </c>
      <c r="F71" s="243">
        <v>0.23</v>
      </c>
      <c r="G71" s="300">
        <f t="shared" si="0"/>
        <v>620.3376</v>
      </c>
      <c r="H71" s="362">
        <f t="shared" si="3"/>
        <v>14535.350440372222</v>
      </c>
      <c r="I71" s="227"/>
      <c r="J71" s="51" t="s">
        <v>349</v>
      </c>
      <c r="K71" s="212" t="s">
        <v>53</v>
      </c>
      <c r="L71" s="212">
        <v>112.38</v>
      </c>
      <c r="M71" s="243">
        <v>24</v>
      </c>
      <c r="N71" s="243">
        <v>0.23</v>
      </c>
      <c r="O71" s="300">
        <f t="shared" si="1"/>
        <v>620.3376</v>
      </c>
      <c r="P71" s="291">
        <f t="shared" si="2"/>
        <v>12494.62346190438</v>
      </c>
    </row>
    <row r="72" spans="1:16" ht="12.75">
      <c r="A72" s="227"/>
      <c r="B72" s="51" t="s">
        <v>350</v>
      </c>
      <c r="C72" s="212" t="s">
        <v>53</v>
      </c>
      <c r="D72" s="212">
        <v>182.48</v>
      </c>
      <c r="E72" s="243">
        <v>24</v>
      </c>
      <c r="F72" s="243">
        <v>0.23</v>
      </c>
      <c r="G72" s="300">
        <f t="shared" si="0"/>
        <v>1007.2896</v>
      </c>
      <c r="H72" s="362">
        <f t="shared" si="3"/>
        <v>23602.160067263954</v>
      </c>
      <c r="I72" s="227"/>
      <c r="J72" s="51" t="s">
        <v>350</v>
      </c>
      <c r="K72" s="212" t="s">
        <v>53</v>
      </c>
      <c r="L72" s="212">
        <v>182.48</v>
      </c>
      <c r="M72" s="243">
        <v>24</v>
      </c>
      <c r="N72" s="243">
        <v>0.23</v>
      </c>
      <c r="O72" s="300">
        <f t="shared" si="1"/>
        <v>1007.2896</v>
      </c>
      <c r="P72" s="291">
        <f t="shared" si="2"/>
        <v>20288.475612460505</v>
      </c>
    </row>
    <row r="73" spans="1:16" ht="16.5" customHeight="1">
      <c r="A73" s="227">
        <v>15</v>
      </c>
      <c r="B73" s="249" t="s">
        <v>351</v>
      </c>
      <c r="C73" s="224" t="s">
        <v>53</v>
      </c>
      <c r="D73" s="224">
        <v>61.18</v>
      </c>
      <c r="E73" s="215">
        <v>20</v>
      </c>
      <c r="F73" s="215">
        <v>1.43</v>
      </c>
      <c r="G73" s="300">
        <f t="shared" si="0"/>
        <v>1749.7479999999998</v>
      </c>
      <c r="H73" s="362">
        <f t="shared" si="3"/>
        <v>40998.966308571995</v>
      </c>
      <c r="I73" s="227">
        <v>15</v>
      </c>
      <c r="J73" s="249" t="s">
        <v>351</v>
      </c>
      <c r="K73" s="224" t="s">
        <v>53</v>
      </c>
      <c r="L73" s="224">
        <v>61.18</v>
      </c>
      <c r="M73" s="215">
        <v>20</v>
      </c>
      <c r="N73" s="215">
        <v>1.43</v>
      </c>
      <c r="O73" s="300">
        <f t="shared" si="1"/>
        <v>1749.7479999999998</v>
      </c>
      <c r="P73" s="291">
        <f t="shared" si="2"/>
        <v>35242.81361184662</v>
      </c>
    </row>
    <row r="74" spans="1:16" ht="12.75">
      <c r="A74" s="227">
        <v>16</v>
      </c>
      <c r="B74" s="51" t="s">
        <v>59</v>
      </c>
      <c r="C74" s="212" t="s">
        <v>225</v>
      </c>
      <c r="D74" s="212">
        <v>100</v>
      </c>
      <c r="E74" s="215">
        <v>1</v>
      </c>
      <c r="F74" s="215">
        <v>1.35</v>
      </c>
      <c r="G74" s="300">
        <f t="shared" si="0"/>
        <v>135</v>
      </c>
      <c r="H74" s="362">
        <f t="shared" si="3"/>
        <v>3163.232906485517</v>
      </c>
      <c r="I74" s="227">
        <v>16</v>
      </c>
      <c r="J74" s="51" t="s">
        <v>59</v>
      </c>
      <c r="K74" s="212" t="s">
        <v>225</v>
      </c>
      <c r="L74" s="212">
        <v>100</v>
      </c>
      <c r="M74" s="215">
        <v>1</v>
      </c>
      <c r="N74" s="215">
        <v>1.35</v>
      </c>
      <c r="O74" s="300">
        <f t="shared" si="1"/>
        <v>135</v>
      </c>
      <c r="P74" s="291">
        <f t="shared" si="2"/>
        <v>2719.1228894671085</v>
      </c>
    </row>
    <row r="75" spans="1:16" ht="18.75" customHeight="1">
      <c r="A75" s="227">
        <v>17</v>
      </c>
      <c r="B75" s="268" t="s">
        <v>550</v>
      </c>
      <c r="C75" s="224" t="s">
        <v>53</v>
      </c>
      <c r="D75" s="224">
        <v>8.5</v>
      </c>
      <c r="E75" s="247">
        <v>20</v>
      </c>
      <c r="F75" s="247">
        <v>1.43</v>
      </c>
      <c r="G75" s="300">
        <f t="shared" si="0"/>
        <v>243.1</v>
      </c>
      <c r="H75" s="362">
        <f t="shared" si="3"/>
        <v>5696.162367160216</v>
      </c>
      <c r="I75" s="227">
        <v>17</v>
      </c>
      <c r="J75" s="268" t="s">
        <v>550</v>
      </c>
      <c r="K75" s="224" t="s">
        <v>53</v>
      </c>
      <c r="L75" s="224">
        <v>8.5</v>
      </c>
      <c r="M75" s="247">
        <v>20</v>
      </c>
      <c r="N75" s="247">
        <v>1.43</v>
      </c>
      <c r="O75" s="300">
        <f t="shared" si="1"/>
        <v>243.1</v>
      </c>
      <c r="P75" s="291">
        <f t="shared" si="2"/>
        <v>4896.435366144105</v>
      </c>
    </row>
    <row r="76" spans="1:16" ht="12.75">
      <c r="A76" s="227">
        <v>18</v>
      </c>
      <c r="B76" s="268" t="s">
        <v>518</v>
      </c>
      <c r="C76" s="212"/>
      <c r="D76" s="212"/>
      <c r="E76" s="215"/>
      <c r="F76" s="215"/>
      <c r="G76" s="300">
        <f t="shared" si="0"/>
        <v>0</v>
      </c>
      <c r="H76" s="362">
        <f t="shared" si="3"/>
        <v>0</v>
      </c>
      <c r="I76" s="227">
        <v>18</v>
      </c>
      <c r="J76" s="268" t="s">
        <v>518</v>
      </c>
      <c r="K76" s="212"/>
      <c r="L76" s="212"/>
      <c r="M76" s="215"/>
      <c r="N76" s="215"/>
      <c r="O76" s="300">
        <f t="shared" si="1"/>
        <v>0</v>
      </c>
      <c r="P76" s="291">
        <f t="shared" si="2"/>
        <v>0</v>
      </c>
    </row>
    <row r="77" spans="1:16" ht="12.75">
      <c r="A77" s="227"/>
      <c r="B77" s="51" t="s">
        <v>41</v>
      </c>
      <c r="C77" s="212" t="s">
        <v>53</v>
      </c>
      <c r="D77" s="212">
        <v>17.5</v>
      </c>
      <c r="E77" s="215">
        <v>10</v>
      </c>
      <c r="F77" s="215">
        <v>1.43</v>
      </c>
      <c r="G77" s="300">
        <f t="shared" si="0"/>
        <v>250.25</v>
      </c>
      <c r="H77" s="362">
        <f t="shared" si="3"/>
        <v>5863.6965544296345</v>
      </c>
      <c r="I77" s="227"/>
      <c r="J77" s="51" t="s">
        <v>41</v>
      </c>
      <c r="K77" s="212" t="s">
        <v>53</v>
      </c>
      <c r="L77" s="212">
        <v>17.5</v>
      </c>
      <c r="M77" s="215">
        <v>10</v>
      </c>
      <c r="N77" s="215">
        <v>1.43</v>
      </c>
      <c r="O77" s="300">
        <f t="shared" si="1"/>
        <v>250.25</v>
      </c>
      <c r="P77" s="291">
        <f t="shared" si="2"/>
        <v>5040.448171030696</v>
      </c>
    </row>
    <row r="78" spans="1:16" ht="12.75">
      <c r="A78" s="227"/>
      <c r="B78" s="51" t="s">
        <v>42</v>
      </c>
      <c r="C78" s="212" t="s">
        <v>53</v>
      </c>
      <c r="D78" s="212">
        <v>5.95</v>
      </c>
      <c r="E78" s="215">
        <v>10</v>
      </c>
      <c r="F78" s="215">
        <v>1.43</v>
      </c>
      <c r="G78" s="300">
        <f t="shared" si="0"/>
        <v>85.085</v>
      </c>
      <c r="H78" s="362">
        <f t="shared" si="3"/>
        <v>1993.6568285060755</v>
      </c>
      <c r="I78" s="227"/>
      <c r="J78" s="51" t="s">
        <v>42</v>
      </c>
      <c r="K78" s="212" t="s">
        <v>53</v>
      </c>
      <c r="L78" s="212">
        <v>5.95</v>
      </c>
      <c r="M78" s="215">
        <v>10</v>
      </c>
      <c r="N78" s="215">
        <v>1.43</v>
      </c>
      <c r="O78" s="300">
        <f t="shared" si="1"/>
        <v>85.085</v>
      </c>
      <c r="P78" s="291">
        <f t="shared" si="2"/>
        <v>1713.7523781504365</v>
      </c>
    </row>
    <row r="79" spans="1:16" ht="12.75">
      <c r="A79" s="227">
        <v>19</v>
      </c>
      <c r="B79" s="301" t="s">
        <v>412</v>
      </c>
      <c r="C79" s="212" t="s">
        <v>61</v>
      </c>
      <c r="D79" s="212">
        <f>24*6</f>
        <v>144</v>
      </c>
      <c r="E79" s="212">
        <v>1</v>
      </c>
      <c r="F79" s="212">
        <v>36</v>
      </c>
      <c r="G79" s="300">
        <f t="shared" si="0"/>
        <v>5184</v>
      </c>
      <c r="H79" s="362">
        <f t="shared" si="3"/>
        <v>121468.14360904385</v>
      </c>
      <c r="I79" s="227">
        <v>19</v>
      </c>
      <c r="J79" s="301" t="s">
        <v>412</v>
      </c>
      <c r="K79" s="212" t="s">
        <v>61</v>
      </c>
      <c r="L79" s="212">
        <f>24*6</f>
        <v>144</v>
      </c>
      <c r="M79" s="212">
        <v>1</v>
      </c>
      <c r="N79" s="212">
        <v>36</v>
      </c>
      <c r="O79" s="300">
        <f t="shared" si="1"/>
        <v>5184</v>
      </c>
      <c r="P79" s="291">
        <f t="shared" si="2"/>
        <v>104414.31895553698</v>
      </c>
    </row>
    <row r="80" spans="1:16" ht="12.75">
      <c r="A80" s="227"/>
      <c r="B80" s="47" t="s">
        <v>413</v>
      </c>
      <c r="C80" s="51"/>
      <c r="D80" s="212"/>
      <c r="E80" s="212"/>
      <c r="F80" s="212"/>
      <c r="G80" s="207">
        <f>SUM(G17:G79)</f>
        <v>29229.245519999993</v>
      </c>
      <c r="H80" s="364">
        <f>SUM(H17:H79)</f>
        <v>684880.8241526547</v>
      </c>
      <c r="I80" s="227"/>
      <c r="J80" s="47" t="s">
        <v>413</v>
      </c>
      <c r="K80" s="51"/>
      <c r="L80" s="212"/>
      <c r="M80" s="212"/>
      <c r="N80" s="212"/>
      <c r="O80" s="288">
        <f>SUM(O17:O79)</f>
        <v>35331.054919999995</v>
      </c>
      <c r="P80" s="299">
        <f>SUM(P17:P79)</f>
        <v>711625.7788295667</v>
      </c>
    </row>
    <row r="81" spans="1:16" ht="12.75">
      <c r="A81" s="227"/>
      <c r="B81" s="396" t="s">
        <v>15</v>
      </c>
      <c r="C81" s="397"/>
      <c r="D81" s="397"/>
      <c r="E81" s="397"/>
      <c r="F81" s="397"/>
      <c r="G81" s="397"/>
      <c r="H81" s="397"/>
      <c r="I81" s="227"/>
      <c r="J81" s="396" t="s">
        <v>15</v>
      </c>
      <c r="K81" s="397"/>
      <c r="L81" s="397"/>
      <c r="M81" s="397"/>
      <c r="N81" s="397"/>
      <c r="O81" s="397"/>
      <c r="P81" s="397"/>
    </row>
    <row r="82" spans="1:16" ht="12.75">
      <c r="A82" s="227">
        <v>20</v>
      </c>
      <c r="B82" s="47" t="s">
        <v>539</v>
      </c>
      <c r="C82" s="215"/>
      <c r="D82" s="205"/>
      <c r="E82" s="215"/>
      <c r="F82" s="215"/>
      <c r="G82" s="260"/>
      <c r="H82" s="362">
        <f>1023079.45/40901.718*G82</f>
        <v>0</v>
      </c>
      <c r="I82" s="227">
        <v>20</v>
      </c>
      <c r="J82" s="47" t="s">
        <v>539</v>
      </c>
      <c r="K82" s="215"/>
      <c r="L82" s="205"/>
      <c r="M82" s="215"/>
      <c r="N82" s="215"/>
      <c r="O82" s="260"/>
      <c r="P82" s="291"/>
    </row>
    <row r="83" spans="1:16" ht="12.75">
      <c r="A83" s="227"/>
      <c r="B83" s="244" t="s">
        <v>537</v>
      </c>
      <c r="C83" s="215" t="s">
        <v>53</v>
      </c>
      <c r="D83" s="215">
        <v>5.03</v>
      </c>
      <c r="E83" s="215">
        <v>16</v>
      </c>
      <c r="F83" s="215">
        <v>1.43</v>
      </c>
      <c r="G83" s="300">
        <f>D83*E83*F83</f>
        <v>115.0864</v>
      </c>
      <c r="H83" s="362">
        <f aca="true" t="shared" si="4" ref="H83:H88">779578/33270.718*G83</f>
        <v>2696.630278288554</v>
      </c>
      <c r="I83" s="227"/>
      <c r="J83" s="244" t="s">
        <v>537</v>
      </c>
      <c r="K83" s="215" t="s">
        <v>53</v>
      </c>
      <c r="L83" s="215">
        <v>5.03</v>
      </c>
      <c r="M83" s="215">
        <v>16</v>
      </c>
      <c r="N83" s="215">
        <v>1.43</v>
      </c>
      <c r="O83" s="300">
        <f>L83*M83*N83</f>
        <v>115.0864</v>
      </c>
      <c r="P83" s="291">
        <f aca="true" t="shared" si="5" ref="P83:P88">790730/39258.45*O83</f>
        <v>2318.0301074545737</v>
      </c>
    </row>
    <row r="84" spans="1:16" ht="12.75">
      <c r="A84" s="227"/>
      <c r="B84" s="244" t="s">
        <v>538</v>
      </c>
      <c r="C84" s="215" t="s">
        <v>53</v>
      </c>
      <c r="D84" s="215">
        <v>1.56</v>
      </c>
      <c r="E84" s="215">
        <v>16</v>
      </c>
      <c r="F84" s="215">
        <v>1.43</v>
      </c>
      <c r="G84" s="300">
        <f>D84*E84*F84</f>
        <v>35.6928</v>
      </c>
      <c r="H84" s="362">
        <f t="shared" si="4"/>
        <v>836.3306628489352</v>
      </c>
      <c r="I84" s="227"/>
      <c r="J84" s="244" t="s">
        <v>538</v>
      </c>
      <c r="K84" s="215" t="s">
        <v>53</v>
      </c>
      <c r="L84" s="215">
        <v>1.56</v>
      </c>
      <c r="M84" s="215">
        <v>16</v>
      </c>
      <c r="N84" s="215">
        <v>1.43</v>
      </c>
      <c r="O84" s="300">
        <f>L84*M84*N84</f>
        <v>35.6928</v>
      </c>
      <c r="P84" s="291">
        <f t="shared" si="5"/>
        <v>718.9119219938638</v>
      </c>
    </row>
    <row r="85" spans="1:16" ht="12.75">
      <c r="A85" s="227">
        <v>21</v>
      </c>
      <c r="B85" s="283" t="s">
        <v>536</v>
      </c>
      <c r="C85" s="215"/>
      <c r="D85" s="205"/>
      <c r="E85" s="215"/>
      <c r="F85" s="215"/>
      <c r="G85" s="261"/>
      <c r="H85" s="362">
        <f t="shared" si="4"/>
        <v>0</v>
      </c>
      <c r="I85" s="227">
        <v>21</v>
      </c>
      <c r="J85" s="283" t="s">
        <v>536</v>
      </c>
      <c r="K85" s="215"/>
      <c r="L85" s="205"/>
      <c r="M85" s="215"/>
      <c r="N85" s="215"/>
      <c r="O85" s="261"/>
      <c r="P85" s="291">
        <f t="shared" si="5"/>
        <v>0</v>
      </c>
    </row>
    <row r="86" spans="1:16" ht="12.75">
      <c r="A86" s="227"/>
      <c r="B86" s="47" t="s">
        <v>535</v>
      </c>
      <c r="C86" s="215"/>
      <c r="D86" s="205"/>
      <c r="E86" s="215"/>
      <c r="F86" s="215"/>
      <c r="G86" s="261"/>
      <c r="H86" s="362">
        <f t="shared" si="4"/>
        <v>0</v>
      </c>
      <c r="I86" s="227"/>
      <c r="J86" s="47" t="s">
        <v>535</v>
      </c>
      <c r="K86" s="215"/>
      <c r="L86" s="205"/>
      <c r="M86" s="215"/>
      <c r="N86" s="215"/>
      <c r="O86" s="261"/>
      <c r="P86" s="291">
        <f t="shared" si="5"/>
        <v>0</v>
      </c>
    </row>
    <row r="87" spans="1:16" ht="12.75">
      <c r="A87" s="227"/>
      <c r="B87" s="244" t="s">
        <v>537</v>
      </c>
      <c r="C87" s="215" t="s">
        <v>65</v>
      </c>
      <c r="D87" s="221">
        <v>30</v>
      </c>
      <c r="E87" s="215">
        <v>16</v>
      </c>
      <c r="F87" s="215">
        <v>0.47</v>
      </c>
      <c r="G87" s="261">
        <f>D87*E87*F87</f>
        <v>225.6</v>
      </c>
      <c r="H87" s="362">
        <f t="shared" si="4"/>
        <v>5286.113657060241</v>
      </c>
      <c r="I87" s="227"/>
      <c r="J87" s="244" t="s">
        <v>537</v>
      </c>
      <c r="K87" s="215" t="s">
        <v>65</v>
      </c>
      <c r="L87" s="221">
        <v>30</v>
      </c>
      <c r="M87" s="215">
        <v>20</v>
      </c>
      <c r="N87" s="215">
        <v>0.47</v>
      </c>
      <c r="O87" s="261">
        <f>L87*M87*N87</f>
        <v>282</v>
      </c>
      <c r="P87" s="291">
        <f t="shared" si="5"/>
        <v>5679.945591331294</v>
      </c>
    </row>
    <row r="88" spans="1:16" ht="12.75">
      <c r="A88" s="227"/>
      <c r="B88" s="244" t="s">
        <v>538</v>
      </c>
      <c r="C88" s="215" t="s">
        <v>65</v>
      </c>
      <c r="D88" s="221">
        <v>14.64</v>
      </c>
      <c r="E88" s="215">
        <v>16</v>
      </c>
      <c r="F88" s="215">
        <v>0.47</v>
      </c>
      <c r="G88" s="261">
        <f>D88*E88*F88</f>
        <v>110.0928</v>
      </c>
      <c r="H88" s="362">
        <f t="shared" si="4"/>
        <v>2579.6234646453977</v>
      </c>
      <c r="I88" s="227"/>
      <c r="J88" s="244" t="s">
        <v>538</v>
      </c>
      <c r="K88" s="215" t="s">
        <v>65</v>
      </c>
      <c r="L88" s="221">
        <v>14.64</v>
      </c>
      <c r="M88" s="215">
        <v>20</v>
      </c>
      <c r="N88" s="215">
        <v>0.47</v>
      </c>
      <c r="O88" s="261">
        <f>L88*M88*N88</f>
        <v>137.61599999999999</v>
      </c>
      <c r="P88" s="291">
        <f t="shared" si="5"/>
        <v>2771.813448569671</v>
      </c>
    </row>
    <row r="89" spans="1:16" ht="12.75">
      <c r="A89" s="227"/>
      <c r="B89" s="283" t="s">
        <v>413</v>
      </c>
      <c r="C89" s="205"/>
      <c r="D89" s="234"/>
      <c r="E89" s="205"/>
      <c r="F89" s="205"/>
      <c r="G89" s="207">
        <f>SUM(G83:G88)</f>
        <v>486.472</v>
      </c>
      <c r="H89" s="364">
        <f>SUM(H83:H88)</f>
        <v>11398.698062843128</v>
      </c>
      <c r="I89" s="227"/>
      <c r="J89" s="283" t="s">
        <v>413</v>
      </c>
      <c r="K89" s="205"/>
      <c r="L89" s="234"/>
      <c r="M89" s="205"/>
      <c r="N89" s="205"/>
      <c r="O89" s="288">
        <f>SUM(O83:O88)</f>
        <v>570.3951999999999</v>
      </c>
      <c r="P89" s="299">
        <f>SUM(P83:P88)</f>
        <v>11488.701069349401</v>
      </c>
    </row>
    <row r="90" spans="1:246" s="292" customFormat="1" ht="12.75">
      <c r="A90" s="298">
        <v>22</v>
      </c>
      <c r="B90" s="297" t="s">
        <v>506</v>
      </c>
      <c r="C90" s="274"/>
      <c r="D90" s="256"/>
      <c r="E90" s="296"/>
      <c r="F90" s="296"/>
      <c r="G90" s="289" t="s">
        <v>476</v>
      </c>
      <c r="H90" s="365"/>
      <c r="I90" s="298">
        <v>22</v>
      </c>
      <c r="J90" s="297" t="s">
        <v>506</v>
      </c>
      <c r="K90" s="274"/>
      <c r="L90" s="256"/>
      <c r="M90" s="296"/>
      <c r="N90" s="296"/>
      <c r="O90" s="289" t="s">
        <v>476</v>
      </c>
      <c r="P90" s="295"/>
      <c r="S90" s="293"/>
      <c r="T90" s="293"/>
      <c r="U90" s="293"/>
      <c r="V90" s="293"/>
      <c r="W90" s="192"/>
      <c r="X90" s="294"/>
      <c r="AA90" s="293"/>
      <c r="AB90" s="293"/>
      <c r="AC90" s="293"/>
      <c r="AD90" s="293"/>
      <c r="AE90" s="192"/>
      <c r="AF90" s="294"/>
      <c r="AI90" s="293"/>
      <c r="AJ90" s="293"/>
      <c r="AK90" s="293"/>
      <c r="AL90" s="293"/>
      <c r="AM90" s="192"/>
      <c r="AN90" s="294"/>
      <c r="AQ90" s="293"/>
      <c r="AR90" s="293"/>
      <c r="AS90" s="293"/>
      <c r="AT90" s="293"/>
      <c r="AU90" s="192"/>
      <c r="AV90" s="294"/>
      <c r="AY90" s="293"/>
      <c r="AZ90" s="293"/>
      <c r="BA90" s="293"/>
      <c r="BB90" s="293"/>
      <c r="BC90" s="192"/>
      <c r="BD90" s="294"/>
      <c r="BG90" s="293"/>
      <c r="BH90" s="293"/>
      <c r="BI90" s="293"/>
      <c r="BJ90" s="293"/>
      <c r="BK90" s="192"/>
      <c r="BL90" s="294"/>
      <c r="BO90" s="293"/>
      <c r="BP90" s="293"/>
      <c r="BQ90" s="293"/>
      <c r="BR90" s="293"/>
      <c r="BS90" s="192"/>
      <c r="BT90" s="294"/>
      <c r="BW90" s="293"/>
      <c r="BX90" s="293"/>
      <c r="BY90" s="293"/>
      <c r="BZ90" s="293"/>
      <c r="CA90" s="192"/>
      <c r="CB90" s="294"/>
      <c r="CE90" s="293"/>
      <c r="CF90" s="293"/>
      <c r="CG90" s="293"/>
      <c r="CH90" s="293"/>
      <c r="CI90" s="192"/>
      <c r="CJ90" s="294"/>
      <c r="CM90" s="293"/>
      <c r="CN90" s="293"/>
      <c r="CO90" s="293"/>
      <c r="CP90" s="293"/>
      <c r="CQ90" s="192"/>
      <c r="CR90" s="294"/>
      <c r="CU90" s="293"/>
      <c r="CV90" s="293"/>
      <c r="CW90" s="293"/>
      <c r="CX90" s="293"/>
      <c r="CY90" s="192"/>
      <c r="CZ90" s="294"/>
      <c r="DC90" s="293"/>
      <c r="DD90" s="293"/>
      <c r="DE90" s="293"/>
      <c r="DF90" s="293"/>
      <c r="DG90" s="192"/>
      <c r="DH90" s="294"/>
      <c r="DK90" s="293"/>
      <c r="DL90" s="293"/>
      <c r="DM90" s="293"/>
      <c r="DN90" s="293"/>
      <c r="DO90" s="192"/>
      <c r="DP90" s="294"/>
      <c r="DS90" s="293"/>
      <c r="DT90" s="293"/>
      <c r="DU90" s="293"/>
      <c r="DV90" s="293"/>
      <c r="DW90" s="192"/>
      <c r="DX90" s="294"/>
      <c r="EA90" s="293"/>
      <c r="EB90" s="293"/>
      <c r="EC90" s="293"/>
      <c r="ED90" s="293"/>
      <c r="EE90" s="192"/>
      <c r="EF90" s="294"/>
      <c r="EI90" s="293"/>
      <c r="EJ90" s="293"/>
      <c r="EK90" s="293"/>
      <c r="EL90" s="293"/>
      <c r="EM90" s="192"/>
      <c r="EN90" s="294"/>
      <c r="EQ90" s="293"/>
      <c r="ER90" s="293"/>
      <c r="ES90" s="293"/>
      <c r="ET90" s="293"/>
      <c r="EU90" s="192"/>
      <c r="EV90" s="294"/>
      <c r="EY90" s="293"/>
      <c r="EZ90" s="293"/>
      <c r="FA90" s="293"/>
      <c r="FB90" s="293"/>
      <c r="FC90" s="192"/>
      <c r="FD90" s="294"/>
      <c r="FG90" s="293"/>
      <c r="FH90" s="293"/>
      <c r="FI90" s="293"/>
      <c r="FJ90" s="293"/>
      <c r="FK90" s="192"/>
      <c r="FL90" s="294"/>
      <c r="FO90" s="293"/>
      <c r="FP90" s="293"/>
      <c r="FQ90" s="293"/>
      <c r="FR90" s="293"/>
      <c r="FS90" s="192"/>
      <c r="FT90" s="294"/>
      <c r="FW90" s="293"/>
      <c r="FX90" s="293"/>
      <c r="FY90" s="293"/>
      <c r="FZ90" s="293"/>
      <c r="GA90" s="192"/>
      <c r="GB90" s="294"/>
      <c r="GE90" s="293"/>
      <c r="GF90" s="293"/>
      <c r="GG90" s="293"/>
      <c r="GH90" s="293"/>
      <c r="GI90" s="192"/>
      <c r="GJ90" s="294"/>
      <c r="GM90" s="293"/>
      <c r="GN90" s="293"/>
      <c r="GO90" s="293"/>
      <c r="GP90" s="293"/>
      <c r="GQ90" s="192"/>
      <c r="GR90" s="294"/>
      <c r="GU90" s="293"/>
      <c r="GV90" s="293"/>
      <c r="GW90" s="293"/>
      <c r="GX90" s="293"/>
      <c r="GY90" s="192"/>
      <c r="GZ90" s="294"/>
      <c r="HC90" s="293"/>
      <c r="HD90" s="293"/>
      <c r="HE90" s="293"/>
      <c r="HF90" s="293"/>
      <c r="HG90" s="192"/>
      <c r="HH90" s="294"/>
      <c r="HK90" s="293"/>
      <c r="HL90" s="293"/>
      <c r="HM90" s="293"/>
      <c r="HN90" s="293"/>
      <c r="HO90" s="192"/>
      <c r="HP90" s="294"/>
      <c r="HS90" s="293"/>
      <c r="HT90" s="293"/>
      <c r="HU90" s="293"/>
      <c r="HV90" s="293"/>
      <c r="HW90" s="192"/>
      <c r="HX90" s="294"/>
      <c r="IA90" s="293"/>
      <c r="IB90" s="293"/>
      <c r="IC90" s="293"/>
      <c r="ID90" s="293"/>
      <c r="IE90" s="192"/>
      <c r="IF90" s="294"/>
      <c r="II90" s="293"/>
      <c r="IJ90" s="293"/>
      <c r="IK90" s="293"/>
      <c r="IL90" s="293"/>
    </row>
    <row r="91" spans="1:246" s="188" customFormat="1" ht="12.75">
      <c r="A91" s="227"/>
      <c r="B91" s="266" t="s">
        <v>465</v>
      </c>
      <c r="C91" s="290" t="s">
        <v>476</v>
      </c>
      <c r="D91" s="210">
        <f>211+50</f>
        <v>261</v>
      </c>
      <c r="E91" s="247">
        <v>1</v>
      </c>
      <c r="F91" s="247">
        <v>1</v>
      </c>
      <c r="G91" s="210">
        <f>211+50</f>
        <v>261</v>
      </c>
      <c r="H91" s="362">
        <f aca="true" t="shared" si="6" ref="H91:H105">779578/33270.718*G91</f>
        <v>6115.583619205333</v>
      </c>
      <c r="I91" s="227"/>
      <c r="J91" s="266" t="s">
        <v>465</v>
      </c>
      <c r="K91" s="290" t="s">
        <v>476</v>
      </c>
      <c r="L91" s="210">
        <f>211+50</f>
        <v>261</v>
      </c>
      <c r="M91" s="247">
        <v>1</v>
      </c>
      <c r="N91" s="247">
        <v>1</v>
      </c>
      <c r="O91" s="210">
        <f>211+50</f>
        <v>261</v>
      </c>
      <c r="P91" s="291">
        <f aca="true" t="shared" si="7" ref="P91:P103">790730/39258.45*O91</f>
        <v>5256.97091963641</v>
      </c>
      <c r="Q91" s="279"/>
      <c r="R91" s="279"/>
      <c r="S91" s="189"/>
      <c r="T91" s="189"/>
      <c r="U91" s="189"/>
      <c r="V91" s="189"/>
      <c r="W91" s="194"/>
      <c r="X91" s="281"/>
      <c r="Y91" s="279"/>
      <c r="Z91" s="279"/>
      <c r="AA91" s="189"/>
      <c r="AB91" s="189"/>
      <c r="AC91" s="189"/>
      <c r="AD91" s="189"/>
      <c r="AE91" s="194"/>
      <c r="AF91" s="281"/>
      <c r="AG91" s="279"/>
      <c r="AH91" s="279"/>
      <c r="AI91" s="189"/>
      <c r="AJ91" s="189"/>
      <c r="AK91" s="189"/>
      <c r="AL91" s="189"/>
      <c r="AM91" s="194"/>
      <c r="AN91" s="281"/>
      <c r="AO91" s="279"/>
      <c r="AP91" s="279"/>
      <c r="AQ91" s="189"/>
      <c r="AR91" s="189"/>
      <c r="AS91" s="189"/>
      <c r="AT91" s="189"/>
      <c r="AU91" s="194"/>
      <c r="AV91" s="281"/>
      <c r="AW91" s="279"/>
      <c r="AX91" s="279"/>
      <c r="AY91" s="189"/>
      <c r="AZ91" s="189"/>
      <c r="BA91" s="189"/>
      <c r="BB91" s="189"/>
      <c r="BC91" s="194"/>
      <c r="BD91" s="281"/>
      <c r="BE91" s="279"/>
      <c r="BF91" s="279"/>
      <c r="BG91" s="189"/>
      <c r="BH91" s="189"/>
      <c r="BI91" s="189"/>
      <c r="BJ91" s="189"/>
      <c r="BK91" s="194"/>
      <c r="BL91" s="281"/>
      <c r="BM91" s="279"/>
      <c r="BN91" s="279"/>
      <c r="BO91" s="189"/>
      <c r="BP91" s="189"/>
      <c r="BQ91" s="189"/>
      <c r="BR91" s="189"/>
      <c r="BS91" s="194"/>
      <c r="BT91" s="281"/>
      <c r="BU91" s="279"/>
      <c r="BV91" s="279"/>
      <c r="BW91" s="189"/>
      <c r="BX91" s="189"/>
      <c r="BY91" s="189"/>
      <c r="BZ91" s="189"/>
      <c r="CA91" s="194"/>
      <c r="CB91" s="281"/>
      <c r="CC91" s="279"/>
      <c r="CD91" s="279"/>
      <c r="CE91" s="189"/>
      <c r="CF91" s="189"/>
      <c r="CG91" s="189"/>
      <c r="CH91" s="189"/>
      <c r="CI91" s="194"/>
      <c r="CJ91" s="281"/>
      <c r="CK91" s="279"/>
      <c r="CL91" s="279"/>
      <c r="CM91" s="189"/>
      <c r="CN91" s="189"/>
      <c r="CO91" s="189"/>
      <c r="CP91" s="189"/>
      <c r="CQ91" s="194"/>
      <c r="CR91" s="281"/>
      <c r="CS91" s="279"/>
      <c r="CT91" s="279"/>
      <c r="CU91" s="189"/>
      <c r="CV91" s="189"/>
      <c r="CW91" s="189"/>
      <c r="CX91" s="189"/>
      <c r="CY91" s="194"/>
      <c r="CZ91" s="281"/>
      <c r="DA91" s="279"/>
      <c r="DB91" s="279"/>
      <c r="DC91" s="189"/>
      <c r="DD91" s="189"/>
      <c r="DE91" s="189"/>
      <c r="DF91" s="189"/>
      <c r="DG91" s="194"/>
      <c r="DH91" s="281"/>
      <c r="DI91" s="279"/>
      <c r="DJ91" s="279"/>
      <c r="DK91" s="189"/>
      <c r="DL91" s="189"/>
      <c r="DM91" s="189"/>
      <c r="DN91" s="189"/>
      <c r="DO91" s="194"/>
      <c r="DP91" s="281"/>
      <c r="DQ91" s="279"/>
      <c r="DR91" s="279"/>
      <c r="DS91" s="189"/>
      <c r="DT91" s="189"/>
      <c r="DU91" s="189"/>
      <c r="DV91" s="189"/>
      <c r="DW91" s="194"/>
      <c r="DX91" s="281"/>
      <c r="DY91" s="279"/>
      <c r="DZ91" s="279"/>
      <c r="EA91" s="189"/>
      <c r="EB91" s="189"/>
      <c r="EC91" s="189"/>
      <c r="ED91" s="189"/>
      <c r="EE91" s="194"/>
      <c r="EF91" s="281"/>
      <c r="EG91" s="279"/>
      <c r="EH91" s="279"/>
      <c r="EI91" s="189"/>
      <c r="EJ91" s="189"/>
      <c r="EK91" s="189"/>
      <c r="EL91" s="189"/>
      <c r="EM91" s="194"/>
      <c r="EN91" s="281"/>
      <c r="EO91" s="279"/>
      <c r="EP91" s="279"/>
      <c r="EQ91" s="189"/>
      <c r="ER91" s="189"/>
      <c r="ES91" s="189"/>
      <c r="ET91" s="189"/>
      <c r="EU91" s="194"/>
      <c r="EV91" s="281"/>
      <c r="EW91" s="279"/>
      <c r="EX91" s="279"/>
      <c r="EY91" s="189"/>
      <c r="EZ91" s="189"/>
      <c r="FA91" s="189"/>
      <c r="FB91" s="189"/>
      <c r="FC91" s="194"/>
      <c r="FD91" s="281"/>
      <c r="FE91" s="279"/>
      <c r="FF91" s="279"/>
      <c r="FG91" s="189"/>
      <c r="FH91" s="189"/>
      <c r="FI91" s="189"/>
      <c r="FJ91" s="189"/>
      <c r="FK91" s="194"/>
      <c r="FL91" s="281"/>
      <c r="FM91" s="279"/>
      <c r="FN91" s="279"/>
      <c r="FO91" s="189"/>
      <c r="FP91" s="189"/>
      <c r="FQ91" s="189"/>
      <c r="FR91" s="189"/>
      <c r="FS91" s="194"/>
      <c r="FT91" s="281"/>
      <c r="FU91" s="279"/>
      <c r="FV91" s="279"/>
      <c r="FW91" s="189"/>
      <c r="FX91" s="189"/>
      <c r="FY91" s="189"/>
      <c r="FZ91" s="189"/>
      <c r="GA91" s="194"/>
      <c r="GB91" s="281"/>
      <c r="GC91" s="279"/>
      <c r="GD91" s="279"/>
      <c r="GE91" s="189"/>
      <c r="GF91" s="189"/>
      <c r="GG91" s="189"/>
      <c r="GH91" s="189"/>
      <c r="GI91" s="194"/>
      <c r="GJ91" s="281"/>
      <c r="GK91" s="279"/>
      <c r="GL91" s="279"/>
      <c r="GM91" s="189"/>
      <c r="GN91" s="189"/>
      <c r="GO91" s="189"/>
      <c r="GP91" s="189"/>
      <c r="GQ91" s="194"/>
      <c r="GR91" s="281"/>
      <c r="GS91" s="279"/>
      <c r="GT91" s="279"/>
      <c r="GU91" s="189"/>
      <c r="GV91" s="189"/>
      <c r="GW91" s="189"/>
      <c r="GX91" s="189"/>
      <c r="GY91" s="194"/>
      <c r="GZ91" s="281"/>
      <c r="HA91" s="279"/>
      <c r="HB91" s="279"/>
      <c r="HC91" s="189"/>
      <c r="HD91" s="189"/>
      <c r="HE91" s="189"/>
      <c r="HF91" s="189"/>
      <c r="HG91" s="194"/>
      <c r="HH91" s="281"/>
      <c r="HI91" s="279"/>
      <c r="HJ91" s="279"/>
      <c r="HK91" s="189"/>
      <c r="HL91" s="189"/>
      <c r="HM91" s="189"/>
      <c r="HN91" s="189"/>
      <c r="HO91" s="194"/>
      <c r="HP91" s="281"/>
      <c r="HQ91" s="279"/>
      <c r="HR91" s="279"/>
      <c r="HS91" s="189"/>
      <c r="HT91" s="189"/>
      <c r="HU91" s="189"/>
      <c r="HV91" s="189"/>
      <c r="HW91" s="194"/>
      <c r="HX91" s="281"/>
      <c r="HY91" s="279"/>
      <c r="HZ91" s="279"/>
      <c r="IA91" s="189"/>
      <c r="IB91" s="189"/>
      <c r="IC91" s="189"/>
      <c r="ID91" s="189"/>
      <c r="IE91" s="194"/>
      <c r="IF91" s="281"/>
      <c r="IG91" s="279"/>
      <c r="IH91" s="279"/>
      <c r="II91" s="189"/>
      <c r="IJ91" s="189"/>
      <c r="IK91" s="189"/>
      <c r="IL91" s="189"/>
    </row>
    <row r="92" spans="1:246" s="188" customFormat="1" ht="12.75">
      <c r="A92" s="227"/>
      <c r="B92" s="266" t="s">
        <v>466</v>
      </c>
      <c r="C92" s="290" t="s">
        <v>476</v>
      </c>
      <c r="D92" s="210">
        <v>370</v>
      </c>
      <c r="E92" s="247">
        <v>1</v>
      </c>
      <c r="F92" s="247">
        <v>1</v>
      </c>
      <c r="G92" s="210">
        <v>370</v>
      </c>
      <c r="H92" s="362">
        <f t="shared" si="6"/>
        <v>8669.601299256601</v>
      </c>
      <c r="I92" s="227"/>
      <c r="J92" s="266" t="s">
        <v>466</v>
      </c>
      <c r="K92" s="290" t="s">
        <v>476</v>
      </c>
      <c r="L92" s="210">
        <f>708-240</f>
        <v>468</v>
      </c>
      <c r="M92" s="247">
        <v>1</v>
      </c>
      <c r="N92" s="247">
        <v>1</v>
      </c>
      <c r="O92" s="210">
        <f>708-240</f>
        <v>468</v>
      </c>
      <c r="P92" s="291">
        <f t="shared" si="7"/>
        <v>9426.292683485977</v>
      </c>
      <c r="Q92" s="279"/>
      <c r="R92" s="279"/>
      <c r="S92" s="189"/>
      <c r="T92" s="189"/>
      <c r="U92" s="189"/>
      <c r="V92" s="189"/>
      <c r="W92" s="194"/>
      <c r="X92" s="281"/>
      <c r="Y92" s="279"/>
      <c r="Z92" s="279"/>
      <c r="AA92" s="189"/>
      <c r="AB92" s="189"/>
      <c r="AC92" s="189"/>
      <c r="AD92" s="189"/>
      <c r="AE92" s="194"/>
      <c r="AF92" s="281"/>
      <c r="AG92" s="279"/>
      <c r="AH92" s="279"/>
      <c r="AI92" s="189"/>
      <c r="AJ92" s="189"/>
      <c r="AK92" s="189"/>
      <c r="AL92" s="189"/>
      <c r="AM92" s="194"/>
      <c r="AN92" s="281"/>
      <c r="AO92" s="279"/>
      <c r="AP92" s="279"/>
      <c r="AQ92" s="189"/>
      <c r="AR92" s="189"/>
      <c r="AS92" s="189"/>
      <c r="AT92" s="189"/>
      <c r="AU92" s="194"/>
      <c r="AV92" s="281"/>
      <c r="AW92" s="279"/>
      <c r="AX92" s="279"/>
      <c r="AY92" s="189"/>
      <c r="AZ92" s="189"/>
      <c r="BA92" s="189"/>
      <c r="BB92" s="189"/>
      <c r="BC92" s="194"/>
      <c r="BD92" s="281"/>
      <c r="BE92" s="279"/>
      <c r="BF92" s="279"/>
      <c r="BG92" s="189"/>
      <c r="BH92" s="189"/>
      <c r="BI92" s="189"/>
      <c r="BJ92" s="189"/>
      <c r="BK92" s="194"/>
      <c r="BL92" s="281"/>
      <c r="BM92" s="279"/>
      <c r="BN92" s="279"/>
      <c r="BO92" s="189"/>
      <c r="BP92" s="189"/>
      <c r="BQ92" s="189"/>
      <c r="BR92" s="189"/>
      <c r="BS92" s="194"/>
      <c r="BT92" s="281"/>
      <c r="BU92" s="279"/>
      <c r="BV92" s="279"/>
      <c r="BW92" s="189"/>
      <c r="BX92" s="189"/>
      <c r="BY92" s="189"/>
      <c r="BZ92" s="189"/>
      <c r="CA92" s="194"/>
      <c r="CB92" s="281"/>
      <c r="CC92" s="279"/>
      <c r="CD92" s="279"/>
      <c r="CE92" s="189"/>
      <c r="CF92" s="189"/>
      <c r="CG92" s="189"/>
      <c r="CH92" s="189"/>
      <c r="CI92" s="194"/>
      <c r="CJ92" s="281"/>
      <c r="CK92" s="279"/>
      <c r="CL92" s="279"/>
      <c r="CM92" s="189"/>
      <c r="CN92" s="189"/>
      <c r="CO92" s="189"/>
      <c r="CP92" s="189"/>
      <c r="CQ92" s="194"/>
      <c r="CR92" s="281"/>
      <c r="CS92" s="279"/>
      <c r="CT92" s="279"/>
      <c r="CU92" s="189"/>
      <c r="CV92" s="189"/>
      <c r="CW92" s="189"/>
      <c r="CX92" s="189"/>
      <c r="CY92" s="194"/>
      <c r="CZ92" s="281"/>
      <c r="DA92" s="279"/>
      <c r="DB92" s="279"/>
      <c r="DC92" s="189"/>
      <c r="DD92" s="189"/>
      <c r="DE92" s="189"/>
      <c r="DF92" s="189"/>
      <c r="DG92" s="194"/>
      <c r="DH92" s="281"/>
      <c r="DI92" s="279"/>
      <c r="DJ92" s="279"/>
      <c r="DK92" s="189"/>
      <c r="DL92" s="189"/>
      <c r="DM92" s="189"/>
      <c r="DN92" s="189"/>
      <c r="DO92" s="194"/>
      <c r="DP92" s="281"/>
      <c r="DQ92" s="279"/>
      <c r="DR92" s="279"/>
      <c r="DS92" s="189"/>
      <c r="DT92" s="189"/>
      <c r="DU92" s="189"/>
      <c r="DV92" s="189"/>
      <c r="DW92" s="194"/>
      <c r="DX92" s="281"/>
      <c r="DY92" s="279"/>
      <c r="DZ92" s="279"/>
      <c r="EA92" s="189"/>
      <c r="EB92" s="189"/>
      <c r="EC92" s="189"/>
      <c r="ED92" s="189"/>
      <c r="EE92" s="194"/>
      <c r="EF92" s="281"/>
      <c r="EG92" s="279"/>
      <c r="EH92" s="279"/>
      <c r="EI92" s="189"/>
      <c r="EJ92" s="189"/>
      <c r="EK92" s="189"/>
      <c r="EL92" s="189"/>
      <c r="EM92" s="194"/>
      <c r="EN92" s="281"/>
      <c r="EO92" s="279"/>
      <c r="EP92" s="279"/>
      <c r="EQ92" s="189"/>
      <c r="ER92" s="189"/>
      <c r="ES92" s="189"/>
      <c r="ET92" s="189"/>
      <c r="EU92" s="194"/>
      <c r="EV92" s="281"/>
      <c r="EW92" s="279"/>
      <c r="EX92" s="279"/>
      <c r="EY92" s="189"/>
      <c r="EZ92" s="189"/>
      <c r="FA92" s="189"/>
      <c r="FB92" s="189"/>
      <c r="FC92" s="194"/>
      <c r="FD92" s="281"/>
      <c r="FE92" s="279"/>
      <c r="FF92" s="279"/>
      <c r="FG92" s="189"/>
      <c r="FH92" s="189"/>
      <c r="FI92" s="189"/>
      <c r="FJ92" s="189"/>
      <c r="FK92" s="194"/>
      <c r="FL92" s="281"/>
      <c r="FM92" s="279"/>
      <c r="FN92" s="279"/>
      <c r="FO92" s="189"/>
      <c r="FP92" s="189"/>
      <c r="FQ92" s="189"/>
      <c r="FR92" s="189"/>
      <c r="FS92" s="194"/>
      <c r="FT92" s="281"/>
      <c r="FU92" s="279"/>
      <c r="FV92" s="279"/>
      <c r="FW92" s="189"/>
      <c r="FX92" s="189"/>
      <c r="FY92" s="189"/>
      <c r="FZ92" s="189"/>
      <c r="GA92" s="194"/>
      <c r="GB92" s="281"/>
      <c r="GC92" s="279"/>
      <c r="GD92" s="279"/>
      <c r="GE92" s="189"/>
      <c r="GF92" s="189"/>
      <c r="GG92" s="189"/>
      <c r="GH92" s="189"/>
      <c r="GI92" s="194"/>
      <c r="GJ92" s="281"/>
      <c r="GK92" s="279"/>
      <c r="GL92" s="279"/>
      <c r="GM92" s="189"/>
      <c r="GN92" s="189"/>
      <c r="GO92" s="189"/>
      <c r="GP92" s="189"/>
      <c r="GQ92" s="194"/>
      <c r="GR92" s="281"/>
      <c r="GS92" s="279"/>
      <c r="GT92" s="279"/>
      <c r="GU92" s="189"/>
      <c r="GV92" s="189"/>
      <c r="GW92" s="189"/>
      <c r="GX92" s="189"/>
      <c r="GY92" s="194"/>
      <c r="GZ92" s="281"/>
      <c r="HA92" s="279"/>
      <c r="HB92" s="279"/>
      <c r="HC92" s="189"/>
      <c r="HD92" s="189"/>
      <c r="HE92" s="189"/>
      <c r="HF92" s="189"/>
      <c r="HG92" s="194"/>
      <c r="HH92" s="281"/>
      <c r="HI92" s="279"/>
      <c r="HJ92" s="279"/>
      <c r="HK92" s="189"/>
      <c r="HL92" s="189"/>
      <c r="HM92" s="189"/>
      <c r="HN92" s="189"/>
      <c r="HO92" s="194"/>
      <c r="HP92" s="281"/>
      <c r="HQ92" s="279"/>
      <c r="HR92" s="279"/>
      <c r="HS92" s="189"/>
      <c r="HT92" s="189"/>
      <c r="HU92" s="189"/>
      <c r="HV92" s="189"/>
      <c r="HW92" s="194"/>
      <c r="HX92" s="281"/>
      <c r="HY92" s="279"/>
      <c r="HZ92" s="279"/>
      <c r="IA92" s="189"/>
      <c r="IB92" s="189"/>
      <c r="IC92" s="189"/>
      <c r="ID92" s="189"/>
      <c r="IE92" s="194"/>
      <c r="IF92" s="281"/>
      <c r="IG92" s="279"/>
      <c r="IH92" s="279"/>
      <c r="II92" s="189"/>
      <c r="IJ92" s="189"/>
      <c r="IK92" s="189"/>
      <c r="IL92" s="189"/>
    </row>
    <row r="93" spans="1:246" s="188" customFormat="1" ht="12.75">
      <c r="A93" s="227"/>
      <c r="B93" s="266" t="s">
        <v>447</v>
      </c>
      <c r="C93" s="290" t="s">
        <v>476</v>
      </c>
      <c r="D93" s="210">
        <v>850</v>
      </c>
      <c r="E93" s="247">
        <v>1</v>
      </c>
      <c r="F93" s="247">
        <v>1</v>
      </c>
      <c r="G93" s="210">
        <v>850</v>
      </c>
      <c r="H93" s="362">
        <f t="shared" si="6"/>
        <v>19916.65163342733</v>
      </c>
      <c r="I93" s="227"/>
      <c r="J93" s="266" t="s">
        <v>447</v>
      </c>
      <c r="K93" s="290" t="s">
        <v>476</v>
      </c>
      <c r="L93" s="210">
        <f>944-256</f>
        <v>688</v>
      </c>
      <c r="M93" s="247">
        <v>1</v>
      </c>
      <c r="N93" s="247">
        <v>1</v>
      </c>
      <c r="O93" s="210">
        <f>944-256</f>
        <v>688</v>
      </c>
      <c r="P93" s="291">
        <f t="shared" si="7"/>
        <v>13857.45591076571</v>
      </c>
      <c r="Q93" s="279"/>
      <c r="R93" s="279"/>
      <c r="S93" s="189"/>
      <c r="T93" s="189"/>
      <c r="U93" s="189"/>
      <c r="V93" s="189"/>
      <c r="W93" s="194"/>
      <c r="X93" s="281"/>
      <c r="Y93" s="279"/>
      <c r="Z93" s="279"/>
      <c r="AA93" s="189"/>
      <c r="AB93" s="189"/>
      <c r="AC93" s="189"/>
      <c r="AD93" s="189"/>
      <c r="AE93" s="194"/>
      <c r="AF93" s="281"/>
      <c r="AG93" s="279"/>
      <c r="AH93" s="279"/>
      <c r="AI93" s="189"/>
      <c r="AJ93" s="189"/>
      <c r="AK93" s="189"/>
      <c r="AL93" s="189"/>
      <c r="AM93" s="194"/>
      <c r="AN93" s="281"/>
      <c r="AO93" s="279"/>
      <c r="AP93" s="279"/>
      <c r="AQ93" s="189"/>
      <c r="AR93" s="189"/>
      <c r="AS93" s="189"/>
      <c r="AT93" s="189"/>
      <c r="AU93" s="194"/>
      <c r="AV93" s="281"/>
      <c r="AW93" s="279"/>
      <c r="AX93" s="279"/>
      <c r="AY93" s="189"/>
      <c r="AZ93" s="189"/>
      <c r="BA93" s="189"/>
      <c r="BB93" s="189"/>
      <c r="BC93" s="194"/>
      <c r="BD93" s="281"/>
      <c r="BE93" s="279"/>
      <c r="BF93" s="279"/>
      <c r="BG93" s="189"/>
      <c r="BH93" s="189"/>
      <c r="BI93" s="189"/>
      <c r="BJ93" s="189"/>
      <c r="BK93" s="194"/>
      <c r="BL93" s="281"/>
      <c r="BM93" s="279"/>
      <c r="BN93" s="279"/>
      <c r="BO93" s="189"/>
      <c r="BP93" s="189"/>
      <c r="BQ93" s="189"/>
      <c r="BR93" s="189"/>
      <c r="BS93" s="194"/>
      <c r="BT93" s="281"/>
      <c r="BU93" s="279"/>
      <c r="BV93" s="279"/>
      <c r="BW93" s="189"/>
      <c r="BX93" s="189"/>
      <c r="BY93" s="189"/>
      <c r="BZ93" s="189"/>
      <c r="CA93" s="194"/>
      <c r="CB93" s="281"/>
      <c r="CC93" s="279"/>
      <c r="CD93" s="279"/>
      <c r="CE93" s="189"/>
      <c r="CF93" s="189"/>
      <c r="CG93" s="189"/>
      <c r="CH93" s="189"/>
      <c r="CI93" s="194"/>
      <c r="CJ93" s="281"/>
      <c r="CK93" s="279"/>
      <c r="CL93" s="279"/>
      <c r="CM93" s="189"/>
      <c r="CN93" s="189"/>
      <c r="CO93" s="189"/>
      <c r="CP93" s="189"/>
      <c r="CQ93" s="194"/>
      <c r="CR93" s="281"/>
      <c r="CS93" s="279"/>
      <c r="CT93" s="279"/>
      <c r="CU93" s="189"/>
      <c r="CV93" s="189"/>
      <c r="CW93" s="189"/>
      <c r="CX93" s="189"/>
      <c r="CY93" s="194"/>
      <c r="CZ93" s="281"/>
      <c r="DA93" s="279"/>
      <c r="DB93" s="279"/>
      <c r="DC93" s="189"/>
      <c r="DD93" s="189"/>
      <c r="DE93" s="189"/>
      <c r="DF93" s="189"/>
      <c r="DG93" s="194"/>
      <c r="DH93" s="281"/>
      <c r="DI93" s="279"/>
      <c r="DJ93" s="279"/>
      <c r="DK93" s="189"/>
      <c r="DL93" s="189"/>
      <c r="DM93" s="189"/>
      <c r="DN93" s="189"/>
      <c r="DO93" s="194"/>
      <c r="DP93" s="281"/>
      <c r="DQ93" s="279"/>
      <c r="DR93" s="279"/>
      <c r="DS93" s="189"/>
      <c r="DT93" s="189"/>
      <c r="DU93" s="189"/>
      <c r="DV93" s="189"/>
      <c r="DW93" s="194"/>
      <c r="DX93" s="281"/>
      <c r="DY93" s="279"/>
      <c r="DZ93" s="279"/>
      <c r="EA93" s="189"/>
      <c r="EB93" s="189"/>
      <c r="EC93" s="189"/>
      <c r="ED93" s="189"/>
      <c r="EE93" s="194"/>
      <c r="EF93" s="281"/>
      <c r="EG93" s="279"/>
      <c r="EH93" s="279"/>
      <c r="EI93" s="189"/>
      <c r="EJ93" s="189"/>
      <c r="EK93" s="189"/>
      <c r="EL93" s="189"/>
      <c r="EM93" s="194"/>
      <c r="EN93" s="281"/>
      <c r="EO93" s="279"/>
      <c r="EP93" s="279"/>
      <c r="EQ93" s="189"/>
      <c r="ER93" s="189"/>
      <c r="ES93" s="189"/>
      <c r="ET93" s="189"/>
      <c r="EU93" s="194"/>
      <c r="EV93" s="281"/>
      <c r="EW93" s="279"/>
      <c r="EX93" s="279"/>
      <c r="EY93" s="189"/>
      <c r="EZ93" s="189"/>
      <c r="FA93" s="189"/>
      <c r="FB93" s="189"/>
      <c r="FC93" s="194"/>
      <c r="FD93" s="281"/>
      <c r="FE93" s="279"/>
      <c r="FF93" s="279"/>
      <c r="FG93" s="189"/>
      <c r="FH93" s="189"/>
      <c r="FI93" s="189"/>
      <c r="FJ93" s="189"/>
      <c r="FK93" s="194"/>
      <c r="FL93" s="281"/>
      <c r="FM93" s="279"/>
      <c r="FN93" s="279"/>
      <c r="FO93" s="189"/>
      <c r="FP93" s="189"/>
      <c r="FQ93" s="189"/>
      <c r="FR93" s="189"/>
      <c r="FS93" s="194"/>
      <c r="FT93" s="281"/>
      <c r="FU93" s="279"/>
      <c r="FV93" s="279"/>
      <c r="FW93" s="189"/>
      <c r="FX93" s="189"/>
      <c r="FY93" s="189"/>
      <c r="FZ93" s="189"/>
      <c r="GA93" s="194"/>
      <c r="GB93" s="281"/>
      <c r="GC93" s="279"/>
      <c r="GD93" s="279"/>
      <c r="GE93" s="189"/>
      <c r="GF93" s="189"/>
      <c r="GG93" s="189"/>
      <c r="GH93" s="189"/>
      <c r="GI93" s="194"/>
      <c r="GJ93" s="281"/>
      <c r="GK93" s="279"/>
      <c r="GL93" s="279"/>
      <c r="GM93" s="189"/>
      <c r="GN93" s="189"/>
      <c r="GO93" s="189"/>
      <c r="GP93" s="189"/>
      <c r="GQ93" s="194"/>
      <c r="GR93" s="281"/>
      <c r="GS93" s="279"/>
      <c r="GT93" s="279"/>
      <c r="GU93" s="189"/>
      <c r="GV93" s="189"/>
      <c r="GW93" s="189"/>
      <c r="GX93" s="189"/>
      <c r="GY93" s="194"/>
      <c r="GZ93" s="281"/>
      <c r="HA93" s="279"/>
      <c r="HB93" s="279"/>
      <c r="HC93" s="189"/>
      <c r="HD93" s="189"/>
      <c r="HE93" s="189"/>
      <c r="HF93" s="189"/>
      <c r="HG93" s="194"/>
      <c r="HH93" s="281"/>
      <c r="HI93" s="279"/>
      <c r="HJ93" s="279"/>
      <c r="HK93" s="189"/>
      <c r="HL93" s="189"/>
      <c r="HM93" s="189"/>
      <c r="HN93" s="189"/>
      <c r="HO93" s="194"/>
      <c r="HP93" s="281"/>
      <c r="HQ93" s="279"/>
      <c r="HR93" s="279"/>
      <c r="HS93" s="189"/>
      <c r="HT93" s="189"/>
      <c r="HU93" s="189"/>
      <c r="HV93" s="189"/>
      <c r="HW93" s="194"/>
      <c r="HX93" s="281"/>
      <c r="HY93" s="279"/>
      <c r="HZ93" s="279"/>
      <c r="IA93" s="189"/>
      <c r="IB93" s="189"/>
      <c r="IC93" s="189"/>
      <c r="ID93" s="189"/>
      <c r="IE93" s="194"/>
      <c r="IF93" s="281"/>
      <c r="IG93" s="279"/>
      <c r="IH93" s="279"/>
      <c r="II93" s="189"/>
      <c r="IJ93" s="189"/>
      <c r="IK93" s="189"/>
      <c r="IL93" s="189"/>
    </row>
    <row r="94" spans="1:246" s="188" customFormat="1" ht="12.75">
      <c r="A94" s="227"/>
      <c r="B94" s="266" t="s">
        <v>570</v>
      </c>
      <c r="C94" s="290" t="s">
        <v>476</v>
      </c>
      <c r="D94" s="210">
        <f>200+200</f>
        <v>400</v>
      </c>
      <c r="E94" s="247">
        <v>1</v>
      </c>
      <c r="F94" s="247">
        <v>1</v>
      </c>
      <c r="G94" s="210">
        <f>200+200</f>
        <v>400</v>
      </c>
      <c r="H94" s="362">
        <f t="shared" si="6"/>
        <v>9372.541945142273</v>
      </c>
      <c r="I94" s="227"/>
      <c r="J94" s="266" t="s">
        <v>448</v>
      </c>
      <c r="K94" s="290" t="s">
        <v>476</v>
      </c>
      <c r="L94" s="210">
        <v>263</v>
      </c>
      <c r="M94" s="247">
        <v>1</v>
      </c>
      <c r="N94" s="247">
        <v>1</v>
      </c>
      <c r="O94" s="210">
        <v>263</v>
      </c>
      <c r="P94" s="291">
        <f t="shared" si="7"/>
        <v>5297.254221702589</v>
      </c>
      <c r="Q94" s="279"/>
      <c r="R94" s="279"/>
      <c r="S94" s="189"/>
      <c r="T94" s="189"/>
      <c r="U94" s="189"/>
      <c r="V94" s="189"/>
      <c r="W94" s="194"/>
      <c r="X94" s="281"/>
      <c r="Y94" s="279"/>
      <c r="Z94" s="279"/>
      <c r="AA94" s="189"/>
      <c r="AB94" s="189"/>
      <c r="AC94" s="189"/>
      <c r="AD94" s="189"/>
      <c r="AE94" s="194"/>
      <c r="AF94" s="281"/>
      <c r="AG94" s="279"/>
      <c r="AH94" s="279"/>
      <c r="AI94" s="189"/>
      <c r="AJ94" s="189"/>
      <c r="AK94" s="189"/>
      <c r="AL94" s="189"/>
      <c r="AM94" s="194"/>
      <c r="AN94" s="281"/>
      <c r="AO94" s="279"/>
      <c r="AP94" s="279"/>
      <c r="AQ94" s="189"/>
      <c r="AR94" s="189"/>
      <c r="AS94" s="189"/>
      <c r="AT94" s="189"/>
      <c r="AU94" s="194"/>
      <c r="AV94" s="281"/>
      <c r="AW94" s="279"/>
      <c r="AX94" s="279"/>
      <c r="AY94" s="189"/>
      <c r="AZ94" s="189"/>
      <c r="BA94" s="189"/>
      <c r="BB94" s="189"/>
      <c r="BC94" s="194"/>
      <c r="BD94" s="281"/>
      <c r="BE94" s="279"/>
      <c r="BF94" s="279"/>
      <c r="BG94" s="189"/>
      <c r="BH94" s="189"/>
      <c r="BI94" s="189"/>
      <c r="BJ94" s="189"/>
      <c r="BK94" s="194"/>
      <c r="BL94" s="281"/>
      <c r="BM94" s="279"/>
      <c r="BN94" s="279"/>
      <c r="BO94" s="189"/>
      <c r="BP94" s="189"/>
      <c r="BQ94" s="189"/>
      <c r="BR94" s="189"/>
      <c r="BS94" s="194"/>
      <c r="BT94" s="281"/>
      <c r="BU94" s="279"/>
      <c r="BV94" s="279"/>
      <c r="BW94" s="189"/>
      <c r="BX94" s="189"/>
      <c r="BY94" s="189"/>
      <c r="BZ94" s="189"/>
      <c r="CA94" s="194"/>
      <c r="CB94" s="281"/>
      <c r="CC94" s="279"/>
      <c r="CD94" s="279"/>
      <c r="CE94" s="189"/>
      <c r="CF94" s="189"/>
      <c r="CG94" s="189"/>
      <c r="CH94" s="189"/>
      <c r="CI94" s="194"/>
      <c r="CJ94" s="281"/>
      <c r="CK94" s="279"/>
      <c r="CL94" s="279"/>
      <c r="CM94" s="189"/>
      <c r="CN94" s="189"/>
      <c r="CO94" s="189"/>
      <c r="CP94" s="189"/>
      <c r="CQ94" s="194"/>
      <c r="CR94" s="281"/>
      <c r="CS94" s="279"/>
      <c r="CT94" s="279"/>
      <c r="CU94" s="189"/>
      <c r="CV94" s="189"/>
      <c r="CW94" s="189"/>
      <c r="CX94" s="189"/>
      <c r="CY94" s="194"/>
      <c r="CZ94" s="281"/>
      <c r="DA94" s="279"/>
      <c r="DB94" s="279"/>
      <c r="DC94" s="189"/>
      <c r="DD94" s="189"/>
      <c r="DE94" s="189"/>
      <c r="DF94" s="189"/>
      <c r="DG94" s="194"/>
      <c r="DH94" s="281"/>
      <c r="DI94" s="279"/>
      <c r="DJ94" s="279"/>
      <c r="DK94" s="189"/>
      <c r="DL94" s="189"/>
      <c r="DM94" s="189"/>
      <c r="DN94" s="189"/>
      <c r="DO94" s="194"/>
      <c r="DP94" s="281"/>
      <c r="DQ94" s="279"/>
      <c r="DR94" s="279"/>
      <c r="DS94" s="189"/>
      <c r="DT94" s="189"/>
      <c r="DU94" s="189"/>
      <c r="DV94" s="189"/>
      <c r="DW94" s="194"/>
      <c r="DX94" s="281"/>
      <c r="DY94" s="279"/>
      <c r="DZ94" s="279"/>
      <c r="EA94" s="189"/>
      <c r="EB94" s="189"/>
      <c r="EC94" s="189"/>
      <c r="ED94" s="189"/>
      <c r="EE94" s="194"/>
      <c r="EF94" s="281"/>
      <c r="EG94" s="279"/>
      <c r="EH94" s="279"/>
      <c r="EI94" s="189"/>
      <c r="EJ94" s="189"/>
      <c r="EK94" s="189"/>
      <c r="EL94" s="189"/>
      <c r="EM94" s="194"/>
      <c r="EN94" s="281"/>
      <c r="EO94" s="279"/>
      <c r="EP94" s="279"/>
      <c r="EQ94" s="189"/>
      <c r="ER94" s="189"/>
      <c r="ES94" s="189"/>
      <c r="ET94" s="189"/>
      <c r="EU94" s="194"/>
      <c r="EV94" s="281"/>
      <c r="EW94" s="279"/>
      <c r="EX94" s="279"/>
      <c r="EY94" s="189"/>
      <c r="EZ94" s="189"/>
      <c r="FA94" s="189"/>
      <c r="FB94" s="189"/>
      <c r="FC94" s="194"/>
      <c r="FD94" s="281"/>
      <c r="FE94" s="279"/>
      <c r="FF94" s="279"/>
      <c r="FG94" s="189"/>
      <c r="FH94" s="189"/>
      <c r="FI94" s="189"/>
      <c r="FJ94" s="189"/>
      <c r="FK94" s="194"/>
      <c r="FL94" s="281"/>
      <c r="FM94" s="279"/>
      <c r="FN94" s="279"/>
      <c r="FO94" s="189"/>
      <c r="FP94" s="189"/>
      <c r="FQ94" s="189"/>
      <c r="FR94" s="189"/>
      <c r="FS94" s="194"/>
      <c r="FT94" s="281"/>
      <c r="FU94" s="279"/>
      <c r="FV94" s="279"/>
      <c r="FW94" s="189"/>
      <c r="FX94" s="189"/>
      <c r="FY94" s="189"/>
      <c r="FZ94" s="189"/>
      <c r="GA94" s="194"/>
      <c r="GB94" s="281"/>
      <c r="GC94" s="279"/>
      <c r="GD94" s="279"/>
      <c r="GE94" s="189"/>
      <c r="GF94" s="189"/>
      <c r="GG94" s="189"/>
      <c r="GH94" s="189"/>
      <c r="GI94" s="194"/>
      <c r="GJ94" s="281"/>
      <c r="GK94" s="279"/>
      <c r="GL94" s="279"/>
      <c r="GM94" s="189"/>
      <c r="GN94" s="189"/>
      <c r="GO94" s="189"/>
      <c r="GP94" s="189"/>
      <c r="GQ94" s="194"/>
      <c r="GR94" s="281"/>
      <c r="GS94" s="279"/>
      <c r="GT94" s="279"/>
      <c r="GU94" s="189"/>
      <c r="GV94" s="189"/>
      <c r="GW94" s="189"/>
      <c r="GX94" s="189"/>
      <c r="GY94" s="194"/>
      <c r="GZ94" s="281"/>
      <c r="HA94" s="279"/>
      <c r="HB94" s="279"/>
      <c r="HC94" s="189"/>
      <c r="HD94" s="189"/>
      <c r="HE94" s="189"/>
      <c r="HF94" s="189"/>
      <c r="HG94" s="194"/>
      <c r="HH94" s="281"/>
      <c r="HI94" s="279"/>
      <c r="HJ94" s="279"/>
      <c r="HK94" s="189"/>
      <c r="HL94" s="189"/>
      <c r="HM94" s="189"/>
      <c r="HN94" s="189"/>
      <c r="HO94" s="194"/>
      <c r="HP94" s="281"/>
      <c r="HQ94" s="279"/>
      <c r="HR94" s="279"/>
      <c r="HS94" s="189"/>
      <c r="HT94" s="189"/>
      <c r="HU94" s="189"/>
      <c r="HV94" s="189"/>
      <c r="HW94" s="194"/>
      <c r="HX94" s="281"/>
      <c r="HY94" s="279"/>
      <c r="HZ94" s="279"/>
      <c r="IA94" s="189"/>
      <c r="IB94" s="189"/>
      <c r="IC94" s="189"/>
      <c r="ID94" s="189"/>
      <c r="IE94" s="194"/>
      <c r="IF94" s="281"/>
      <c r="IG94" s="279"/>
      <c r="IH94" s="279"/>
      <c r="II94" s="189"/>
      <c r="IJ94" s="189"/>
      <c r="IK94" s="189"/>
      <c r="IL94" s="189"/>
    </row>
    <row r="95" spans="1:246" s="188" customFormat="1" ht="12.75">
      <c r="A95" s="227"/>
      <c r="B95" s="266" t="s">
        <v>630</v>
      </c>
      <c r="C95" s="290" t="s">
        <v>476</v>
      </c>
      <c r="D95" s="210">
        <v>60</v>
      </c>
      <c r="E95" s="247"/>
      <c r="F95" s="247"/>
      <c r="G95" s="210">
        <v>60</v>
      </c>
      <c r="H95" s="362">
        <f t="shared" si="6"/>
        <v>1405.8812917713408</v>
      </c>
      <c r="I95" s="227"/>
      <c r="J95" s="266" t="s">
        <v>449</v>
      </c>
      <c r="K95" s="290" t="s">
        <v>476</v>
      </c>
      <c r="L95" s="210">
        <v>430</v>
      </c>
      <c r="M95" s="247">
        <v>1</v>
      </c>
      <c r="N95" s="247">
        <v>1</v>
      </c>
      <c r="O95" s="210">
        <v>430</v>
      </c>
      <c r="P95" s="291">
        <f t="shared" si="7"/>
        <v>8660.909944228568</v>
      </c>
      <c r="Q95" s="279"/>
      <c r="R95" s="279"/>
      <c r="S95" s="189"/>
      <c r="T95" s="189"/>
      <c r="U95" s="189"/>
      <c r="V95" s="189"/>
      <c r="W95" s="194"/>
      <c r="X95" s="281"/>
      <c r="Y95" s="279"/>
      <c r="Z95" s="279"/>
      <c r="AA95" s="189"/>
      <c r="AB95" s="189"/>
      <c r="AC95" s="189"/>
      <c r="AD95" s="189"/>
      <c r="AE95" s="194"/>
      <c r="AF95" s="281"/>
      <c r="AG95" s="279"/>
      <c r="AH95" s="279"/>
      <c r="AI95" s="189"/>
      <c r="AJ95" s="189"/>
      <c r="AK95" s="189"/>
      <c r="AL95" s="189"/>
      <c r="AM95" s="194"/>
      <c r="AN95" s="281"/>
      <c r="AO95" s="279"/>
      <c r="AP95" s="279"/>
      <c r="AQ95" s="189"/>
      <c r="AR95" s="189"/>
      <c r="AS95" s="189"/>
      <c r="AT95" s="189"/>
      <c r="AU95" s="194"/>
      <c r="AV95" s="281"/>
      <c r="AW95" s="279"/>
      <c r="AX95" s="279"/>
      <c r="AY95" s="189"/>
      <c r="AZ95" s="189"/>
      <c r="BA95" s="189"/>
      <c r="BB95" s="189"/>
      <c r="BC95" s="194"/>
      <c r="BD95" s="281"/>
      <c r="BE95" s="279"/>
      <c r="BF95" s="279"/>
      <c r="BG95" s="189"/>
      <c r="BH95" s="189"/>
      <c r="BI95" s="189"/>
      <c r="BJ95" s="189"/>
      <c r="BK95" s="194"/>
      <c r="BL95" s="281"/>
      <c r="BM95" s="279"/>
      <c r="BN95" s="279"/>
      <c r="BO95" s="189"/>
      <c r="BP95" s="189"/>
      <c r="BQ95" s="189"/>
      <c r="BR95" s="189"/>
      <c r="BS95" s="194"/>
      <c r="BT95" s="281"/>
      <c r="BU95" s="279"/>
      <c r="BV95" s="279"/>
      <c r="BW95" s="189"/>
      <c r="BX95" s="189"/>
      <c r="BY95" s="189"/>
      <c r="BZ95" s="189"/>
      <c r="CA95" s="194"/>
      <c r="CB95" s="281"/>
      <c r="CC95" s="279"/>
      <c r="CD95" s="279"/>
      <c r="CE95" s="189"/>
      <c r="CF95" s="189"/>
      <c r="CG95" s="189"/>
      <c r="CH95" s="189"/>
      <c r="CI95" s="194"/>
      <c r="CJ95" s="281"/>
      <c r="CK95" s="279"/>
      <c r="CL95" s="279"/>
      <c r="CM95" s="189"/>
      <c r="CN95" s="189"/>
      <c r="CO95" s="189"/>
      <c r="CP95" s="189"/>
      <c r="CQ95" s="194"/>
      <c r="CR95" s="281"/>
      <c r="CS95" s="279"/>
      <c r="CT95" s="279"/>
      <c r="CU95" s="189"/>
      <c r="CV95" s="189"/>
      <c r="CW95" s="189"/>
      <c r="CX95" s="189"/>
      <c r="CY95" s="194"/>
      <c r="CZ95" s="281"/>
      <c r="DA95" s="279"/>
      <c r="DB95" s="279"/>
      <c r="DC95" s="189"/>
      <c r="DD95" s="189"/>
      <c r="DE95" s="189"/>
      <c r="DF95" s="189"/>
      <c r="DG95" s="194"/>
      <c r="DH95" s="281"/>
      <c r="DI95" s="279"/>
      <c r="DJ95" s="279"/>
      <c r="DK95" s="189"/>
      <c r="DL95" s="189"/>
      <c r="DM95" s="189"/>
      <c r="DN95" s="189"/>
      <c r="DO95" s="194"/>
      <c r="DP95" s="281"/>
      <c r="DQ95" s="279"/>
      <c r="DR95" s="279"/>
      <c r="DS95" s="189"/>
      <c r="DT95" s="189"/>
      <c r="DU95" s="189"/>
      <c r="DV95" s="189"/>
      <c r="DW95" s="194"/>
      <c r="DX95" s="281"/>
      <c r="DY95" s="279"/>
      <c r="DZ95" s="279"/>
      <c r="EA95" s="189"/>
      <c r="EB95" s="189"/>
      <c r="EC95" s="189"/>
      <c r="ED95" s="189"/>
      <c r="EE95" s="194"/>
      <c r="EF95" s="281"/>
      <c r="EG95" s="279"/>
      <c r="EH95" s="279"/>
      <c r="EI95" s="189"/>
      <c r="EJ95" s="189"/>
      <c r="EK95" s="189"/>
      <c r="EL95" s="189"/>
      <c r="EM95" s="194"/>
      <c r="EN95" s="281"/>
      <c r="EO95" s="279"/>
      <c r="EP95" s="279"/>
      <c r="EQ95" s="189"/>
      <c r="ER95" s="189"/>
      <c r="ES95" s="189"/>
      <c r="ET95" s="189"/>
      <c r="EU95" s="194"/>
      <c r="EV95" s="281"/>
      <c r="EW95" s="279"/>
      <c r="EX95" s="279"/>
      <c r="EY95" s="189"/>
      <c r="EZ95" s="189"/>
      <c r="FA95" s="189"/>
      <c r="FB95" s="189"/>
      <c r="FC95" s="194"/>
      <c r="FD95" s="281"/>
      <c r="FE95" s="279"/>
      <c r="FF95" s="279"/>
      <c r="FG95" s="189"/>
      <c r="FH95" s="189"/>
      <c r="FI95" s="189"/>
      <c r="FJ95" s="189"/>
      <c r="FK95" s="194"/>
      <c r="FL95" s="281"/>
      <c r="FM95" s="279"/>
      <c r="FN95" s="279"/>
      <c r="FO95" s="189"/>
      <c r="FP95" s="189"/>
      <c r="FQ95" s="189"/>
      <c r="FR95" s="189"/>
      <c r="FS95" s="194"/>
      <c r="FT95" s="281"/>
      <c r="FU95" s="279"/>
      <c r="FV95" s="279"/>
      <c r="FW95" s="189"/>
      <c r="FX95" s="189"/>
      <c r="FY95" s="189"/>
      <c r="FZ95" s="189"/>
      <c r="GA95" s="194"/>
      <c r="GB95" s="281"/>
      <c r="GC95" s="279"/>
      <c r="GD95" s="279"/>
      <c r="GE95" s="189"/>
      <c r="GF95" s="189"/>
      <c r="GG95" s="189"/>
      <c r="GH95" s="189"/>
      <c r="GI95" s="194"/>
      <c r="GJ95" s="281"/>
      <c r="GK95" s="279"/>
      <c r="GL95" s="279"/>
      <c r="GM95" s="189"/>
      <c r="GN95" s="189"/>
      <c r="GO95" s="189"/>
      <c r="GP95" s="189"/>
      <c r="GQ95" s="194"/>
      <c r="GR95" s="281"/>
      <c r="GS95" s="279"/>
      <c r="GT95" s="279"/>
      <c r="GU95" s="189"/>
      <c r="GV95" s="189"/>
      <c r="GW95" s="189"/>
      <c r="GX95" s="189"/>
      <c r="GY95" s="194"/>
      <c r="GZ95" s="281"/>
      <c r="HA95" s="279"/>
      <c r="HB95" s="279"/>
      <c r="HC95" s="189"/>
      <c r="HD95" s="189"/>
      <c r="HE95" s="189"/>
      <c r="HF95" s="189"/>
      <c r="HG95" s="194"/>
      <c r="HH95" s="281"/>
      <c r="HI95" s="279"/>
      <c r="HJ95" s="279"/>
      <c r="HK95" s="189"/>
      <c r="HL95" s="189"/>
      <c r="HM95" s="189"/>
      <c r="HN95" s="189"/>
      <c r="HO95" s="194"/>
      <c r="HP95" s="281"/>
      <c r="HQ95" s="279"/>
      <c r="HR95" s="279"/>
      <c r="HS95" s="189"/>
      <c r="HT95" s="189"/>
      <c r="HU95" s="189"/>
      <c r="HV95" s="189"/>
      <c r="HW95" s="194"/>
      <c r="HX95" s="281"/>
      <c r="HY95" s="279"/>
      <c r="HZ95" s="279"/>
      <c r="IA95" s="189"/>
      <c r="IB95" s="189"/>
      <c r="IC95" s="189"/>
      <c r="ID95" s="189"/>
      <c r="IE95" s="194"/>
      <c r="IF95" s="281"/>
      <c r="IG95" s="279"/>
      <c r="IH95" s="279"/>
      <c r="II95" s="189"/>
      <c r="IJ95" s="189"/>
      <c r="IK95" s="189"/>
      <c r="IL95" s="189"/>
    </row>
    <row r="96" spans="1:246" s="188" customFormat="1" ht="12.75">
      <c r="A96" s="227"/>
      <c r="B96" s="266" t="s">
        <v>544</v>
      </c>
      <c r="C96" s="290" t="s">
        <v>476</v>
      </c>
      <c r="D96" s="210">
        <v>500</v>
      </c>
      <c r="E96" s="247">
        <v>1</v>
      </c>
      <c r="F96" s="247">
        <v>1</v>
      </c>
      <c r="G96" s="210">
        <v>500</v>
      </c>
      <c r="H96" s="362">
        <f t="shared" si="6"/>
        <v>11715.677431427841</v>
      </c>
      <c r="I96" s="227"/>
      <c r="J96" s="266" t="s">
        <v>544</v>
      </c>
      <c r="K96" s="290" t="s">
        <v>476</v>
      </c>
      <c r="L96" s="210">
        <v>240</v>
      </c>
      <c r="M96" s="247">
        <v>1</v>
      </c>
      <c r="N96" s="247">
        <v>1</v>
      </c>
      <c r="O96" s="210">
        <v>240</v>
      </c>
      <c r="P96" s="291">
        <f t="shared" si="7"/>
        <v>4833.996247941526</v>
      </c>
      <c r="Q96" s="279"/>
      <c r="R96" s="279"/>
      <c r="S96" s="189"/>
      <c r="T96" s="189"/>
      <c r="U96" s="189"/>
      <c r="V96" s="189"/>
      <c r="W96" s="194"/>
      <c r="X96" s="281"/>
      <c r="Y96" s="279"/>
      <c r="Z96" s="279"/>
      <c r="AA96" s="189"/>
      <c r="AB96" s="189"/>
      <c r="AC96" s="189"/>
      <c r="AD96" s="189"/>
      <c r="AE96" s="194"/>
      <c r="AF96" s="281"/>
      <c r="AG96" s="279"/>
      <c r="AH96" s="279"/>
      <c r="AI96" s="189"/>
      <c r="AJ96" s="189"/>
      <c r="AK96" s="189"/>
      <c r="AL96" s="189"/>
      <c r="AM96" s="194"/>
      <c r="AN96" s="281"/>
      <c r="AO96" s="279"/>
      <c r="AP96" s="279"/>
      <c r="AQ96" s="189"/>
      <c r="AR96" s="189"/>
      <c r="AS96" s="189"/>
      <c r="AT96" s="189"/>
      <c r="AU96" s="194"/>
      <c r="AV96" s="281"/>
      <c r="AW96" s="279"/>
      <c r="AX96" s="279"/>
      <c r="AY96" s="189"/>
      <c r="AZ96" s="189"/>
      <c r="BA96" s="189"/>
      <c r="BB96" s="189"/>
      <c r="BC96" s="194"/>
      <c r="BD96" s="281"/>
      <c r="BE96" s="279"/>
      <c r="BF96" s="279"/>
      <c r="BG96" s="189"/>
      <c r="BH96" s="189"/>
      <c r="BI96" s="189"/>
      <c r="BJ96" s="189"/>
      <c r="BK96" s="194"/>
      <c r="BL96" s="281"/>
      <c r="BM96" s="279"/>
      <c r="BN96" s="279"/>
      <c r="BO96" s="189"/>
      <c r="BP96" s="189"/>
      <c r="BQ96" s="189"/>
      <c r="BR96" s="189"/>
      <c r="BS96" s="194"/>
      <c r="BT96" s="281"/>
      <c r="BU96" s="279"/>
      <c r="BV96" s="279"/>
      <c r="BW96" s="189"/>
      <c r="BX96" s="189"/>
      <c r="BY96" s="189"/>
      <c r="BZ96" s="189"/>
      <c r="CA96" s="194"/>
      <c r="CB96" s="281"/>
      <c r="CC96" s="279"/>
      <c r="CD96" s="279"/>
      <c r="CE96" s="189"/>
      <c r="CF96" s="189"/>
      <c r="CG96" s="189"/>
      <c r="CH96" s="189"/>
      <c r="CI96" s="194"/>
      <c r="CJ96" s="281"/>
      <c r="CK96" s="279"/>
      <c r="CL96" s="279"/>
      <c r="CM96" s="189"/>
      <c r="CN96" s="189"/>
      <c r="CO96" s="189"/>
      <c r="CP96" s="189"/>
      <c r="CQ96" s="194"/>
      <c r="CR96" s="281"/>
      <c r="CS96" s="279"/>
      <c r="CT96" s="279"/>
      <c r="CU96" s="189"/>
      <c r="CV96" s="189"/>
      <c r="CW96" s="189"/>
      <c r="CX96" s="189"/>
      <c r="CY96" s="194"/>
      <c r="CZ96" s="281"/>
      <c r="DA96" s="279"/>
      <c r="DB96" s="279"/>
      <c r="DC96" s="189"/>
      <c r="DD96" s="189"/>
      <c r="DE96" s="189"/>
      <c r="DF96" s="189"/>
      <c r="DG96" s="194"/>
      <c r="DH96" s="281"/>
      <c r="DI96" s="279"/>
      <c r="DJ96" s="279"/>
      <c r="DK96" s="189"/>
      <c r="DL96" s="189"/>
      <c r="DM96" s="189"/>
      <c r="DN96" s="189"/>
      <c r="DO96" s="194"/>
      <c r="DP96" s="281"/>
      <c r="DQ96" s="279"/>
      <c r="DR96" s="279"/>
      <c r="DS96" s="189"/>
      <c r="DT96" s="189"/>
      <c r="DU96" s="189"/>
      <c r="DV96" s="189"/>
      <c r="DW96" s="194"/>
      <c r="DX96" s="281"/>
      <c r="DY96" s="279"/>
      <c r="DZ96" s="279"/>
      <c r="EA96" s="189"/>
      <c r="EB96" s="189"/>
      <c r="EC96" s="189"/>
      <c r="ED96" s="189"/>
      <c r="EE96" s="194"/>
      <c r="EF96" s="281"/>
      <c r="EG96" s="279"/>
      <c r="EH96" s="279"/>
      <c r="EI96" s="189"/>
      <c r="EJ96" s="189"/>
      <c r="EK96" s="189"/>
      <c r="EL96" s="189"/>
      <c r="EM96" s="194"/>
      <c r="EN96" s="281"/>
      <c r="EO96" s="279"/>
      <c r="EP96" s="279"/>
      <c r="EQ96" s="189"/>
      <c r="ER96" s="189"/>
      <c r="ES96" s="189"/>
      <c r="ET96" s="189"/>
      <c r="EU96" s="194"/>
      <c r="EV96" s="281"/>
      <c r="EW96" s="279"/>
      <c r="EX96" s="279"/>
      <c r="EY96" s="189"/>
      <c r="EZ96" s="189"/>
      <c r="FA96" s="189"/>
      <c r="FB96" s="189"/>
      <c r="FC96" s="194"/>
      <c r="FD96" s="281"/>
      <c r="FE96" s="279"/>
      <c r="FF96" s="279"/>
      <c r="FG96" s="189"/>
      <c r="FH96" s="189"/>
      <c r="FI96" s="189"/>
      <c r="FJ96" s="189"/>
      <c r="FK96" s="194"/>
      <c r="FL96" s="281"/>
      <c r="FM96" s="279"/>
      <c r="FN96" s="279"/>
      <c r="FO96" s="189"/>
      <c r="FP96" s="189"/>
      <c r="FQ96" s="189"/>
      <c r="FR96" s="189"/>
      <c r="FS96" s="194"/>
      <c r="FT96" s="281"/>
      <c r="FU96" s="279"/>
      <c r="FV96" s="279"/>
      <c r="FW96" s="189"/>
      <c r="FX96" s="189"/>
      <c r="FY96" s="189"/>
      <c r="FZ96" s="189"/>
      <c r="GA96" s="194"/>
      <c r="GB96" s="281"/>
      <c r="GC96" s="279"/>
      <c r="GD96" s="279"/>
      <c r="GE96" s="189"/>
      <c r="GF96" s="189"/>
      <c r="GG96" s="189"/>
      <c r="GH96" s="189"/>
      <c r="GI96" s="194"/>
      <c r="GJ96" s="281"/>
      <c r="GK96" s="279"/>
      <c r="GL96" s="279"/>
      <c r="GM96" s="189"/>
      <c r="GN96" s="189"/>
      <c r="GO96" s="189"/>
      <c r="GP96" s="189"/>
      <c r="GQ96" s="194"/>
      <c r="GR96" s="281"/>
      <c r="GS96" s="279"/>
      <c r="GT96" s="279"/>
      <c r="GU96" s="189"/>
      <c r="GV96" s="189"/>
      <c r="GW96" s="189"/>
      <c r="GX96" s="189"/>
      <c r="GY96" s="194"/>
      <c r="GZ96" s="281"/>
      <c r="HA96" s="279"/>
      <c r="HB96" s="279"/>
      <c r="HC96" s="189"/>
      <c r="HD96" s="189"/>
      <c r="HE96" s="189"/>
      <c r="HF96" s="189"/>
      <c r="HG96" s="194"/>
      <c r="HH96" s="281"/>
      <c r="HI96" s="279"/>
      <c r="HJ96" s="279"/>
      <c r="HK96" s="189"/>
      <c r="HL96" s="189"/>
      <c r="HM96" s="189"/>
      <c r="HN96" s="189"/>
      <c r="HO96" s="194"/>
      <c r="HP96" s="281"/>
      <c r="HQ96" s="279"/>
      <c r="HR96" s="279"/>
      <c r="HS96" s="189"/>
      <c r="HT96" s="189"/>
      <c r="HU96" s="189"/>
      <c r="HV96" s="189"/>
      <c r="HW96" s="194"/>
      <c r="HX96" s="281"/>
      <c r="HY96" s="279"/>
      <c r="HZ96" s="279"/>
      <c r="IA96" s="189"/>
      <c r="IB96" s="189"/>
      <c r="IC96" s="189"/>
      <c r="ID96" s="189"/>
      <c r="IE96" s="194"/>
      <c r="IF96" s="281"/>
      <c r="IG96" s="279"/>
      <c r="IH96" s="279"/>
      <c r="II96" s="189"/>
      <c r="IJ96" s="189"/>
      <c r="IK96" s="189"/>
      <c r="IL96" s="189"/>
    </row>
    <row r="97" spans="1:246" s="188" customFormat="1" ht="12.75">
      <c r="A97" s="227"/>
      <c r="B97" s="266" t="s">
        <v>464</v>
      </c>
      <c r="C97" s="290" t="s">
        <v>476</v>
      </c>
      <c r="D97" s="210">
        <v>200</v>
      </c>
      <c r="E97" s="247">
        <v>1</v>
      </c>
      <c r="F97" s="247">
        <v>1</v>
      </c>
      <c r="G97" s="210">
        <v>200</v>
      </c>
      <c r="H97" s="362">
        <f t="shared" si="6"/>
        <v>4686.270972571137</v>
      </c>
      <c r="I97" s="227"/>
      <c r="J97" s="266" t="s">
        <v>464</v>
      </c>
      <c r="K97" s="290" t="s">
        <v>476</v>
      </c>
      <c r="L97" s="210">
        <v>256</v>
      </c>
      <c r="M97" s="247">
        <v>1</v>
      </c>
      <c r="N97" s="247">
        <v>1</v>
      </c>
      <c r="O97" s="210">
        <v>256</v>
      </c>
      <c r="P97" s="291">
        <f t="shared" si="7"/>
        <v>5156.262664470962</v>
      </c>
      <c r="Q97" s="279"/>
      <c r="R97" s="279"/>
      <c r="S97" s="189"/>
      <c r="T97" s="189"/>
      <c r="U97" s="189"/>
      <c r="V97" s="189"/>
      <c r="W97" s="194"/>
      <c r="X97" s="281"/>
      <c r="Y97" s="279"/>
      <c r="Z97" s="279"/>
      <c r="AA97" s="189"/>
      <c r="AB97" s="189"/>
      <c r="AC97" s="189"/>
      <c r="AD97" s="189"/>
      <c r="AE97" s="194"/>
      <c r="AF97" s="281"/>
      <c r="AG97" s="279"/>
      <c r="AH97" s="279"/>
      <c r="AI97" s="189"/>
      <c r="AJ97" s="189"/>
      <c r="AK97" s="189"/>
      <c r="AL97" s="189"/>
      <c r="AM97" s="194"/>
      <c r="AN97" s="281"/>
      <c r="AO97" s="279"/>
      <c r="AP97" s="279"/>
      <c r="AQ97" s="189"/>
      <c r="AR97" s="189"/>
      <c r="AS97" s="189"/>
      <c r="AT97" s="189"/>
      <c r="AU97" s="194"/>
      <c r="AV97" s="281"/>
      <c r="AW97" s="279"/>
      <c r="AX97" s="279"/>
      <c r="AY97" s="189"/>
      <c r="AZ97" s="189"/>
      <c r="BA97" s="189"/>
      <c r="BB97" s="189"/>
      <c r="BC97" s="194"/>
      <c r="BD97" s="281"/>
      <c r="BE97" s="279"/>
      <c r="BF97" s="279"/>
      <c r="BG97" s="189"/>
      <c r="BH97" s="189"/>
      <c r="BI97" s="189"/>
      <c r="BJ97" s="189"/>
      <c r="BK97" s="194"/>
      <c r="BL97" s="281"/>
      <c r="BM97" s="279"/>
      <c r="BN97" s="279"/>
      <c r="BO97" s="189"/>
      <c r="BP97" s="189"/>
      <c r="BQ97" s="189"/>
      <c r="BR97" s="189"/>
      <c r="BS97" s="194"/>
      <c r="BT97" s="281"/>
      <c r="BU97" s="279"/>
      <c r="BV97" s="279"/>
      <c r="BW97" s="189"/>
      <c r="BX97" s="189"/>
      <c r="BY97" s="189"/>
      <c r="BZ97" s="189"/>
      <c r="CA97" s="194"/>
      <c r="CB97" s="281"/>
      <c r="CC97" s="279"/>
      <c r="CD97" s="279"/>
      <c r="CE97" s="189"/>
      <c r="CF97" s="189"/>
      <c r="CG97" s="189"/>
      <c r="CH97" s="189"/>
      <c r="CI97" s="194"/>
      <c r="CJ97" s="281"/>
      <c r="CK97" s="279"/>
      <c r="CL97" s="279"/>
      <c r="CM97" s="189"/>
      <c r="CN97" s="189"/>
      <c r="CO97" s="189"/>
      <c r="CP97" s="189"/>
      <c r="CQ97" s="194"/>
      <c r="CR97" s="281"/>
      <c r="CS97" s="279"/>
      <c r="CT97" s="279"/>
      <c r="CU97" s="189"/>
      <c r="CV97" s="189"/>
      <c r="CW97" s="189"/>
      <c r="CX97" s="189"/>
      <c r="CY97" s="194"/>
      <c r="CZ97" s="281"/>
      <c r="DA97" s="279"/>
      <c r="DB97" s="279"/>
      <c r="DC97" s="189"/>
      <c r="DD97" s="189"/>
      <c r="DE97" s="189"/>
      <c r="DF97" s="189"/>
      <c r="DG97" s="194"/>
      <c r="DH97" s="281"/>
      <c r="DI97" s="279"/>
      <c r="DJ97" s="279"/>
      <c r="DK97" s="189"/>
      <c r="DL97" s="189"/>
      <c r="DM97" s="189"/>
      <c r="DN97" s="189"/>
      <c r="DO97" s="194"/>
      <c r="DP97" s="281"/>
      <c r="DQ97" s="279"/>
      <c r="DR97" s="279"/>
      <c r="DS97" s="189"/>
      <c r="DT97" s="189"/>
      <c r="DU97" s="189"/>
      <c r="DV97" s="189"/>
      <c r="DW97" s="194"/>
      <c r="DX97" s="281"/>
      <c r="DY97" s="279"/>
      <c r="DZ97" s="279"/>
      <c r="EA97" s="189"/>
      <c r="EB97" s="189"/>
      <c r="EC97" s="189"/>
      <c r="ED97" s="189"/>
      <c r="EE97" s="194"/>
      <c r="EF97" s="281"/>
      <c r="EG97" s="279"/>
      <c r="EH97" s="279"/>
      <c r="EI97" s="189"/>
      <c r="EJ97" s="189"/>
      <c r="EK97" s="189"/>
      <c r="EL97" s="189"/>
      <c r="EM97" s="194"/>
      <c r="EN97" s="281"/>
      <c r="EO97" s="279"/>
      <c r="EP97" s="279"/>
      <c r="EQ97" s="189"/>
      <c r="ER97" s="189"/>
      <c r="ES97" s="189"/>
      <c r="ET97" s="189"/>
      <c r="EU97" s="194"/>
      <c r="EV97" s="281"/>
      <c r="EW97" s="279"/>
      <c r="EX97" s="279"/>
      <c r="EY97" s="189"/>
      <c r="EZ97" s="189"/>
      <c r="FA97" s="189"/>
      <c r="FB97" s="189"/>
      <c r="FC97" s="194"/>
      <c r="FD97" s="281"/>
      <c r="FE97" s="279"/>
      <c r="FF97" s="279"/>
      <c r="FG97" s="189"/>
      <c r="FH97" s="189"/>
      <c r="FI97" s="189"/>
      <c r="FJ97" s="189"/>
      <c r="FK97" s="194"/>
      <c r="FL97" s="281"/>
      <c r="FM97" s="279"/>
      <c r="FN97" s="279"/>
      <c r="FO97" s="189"/>
      <c r="FP97" s="189"/>
      <c r="FQ97" s="189"/>
      <c r="FR97" s="189"/>
      <c r="FS97" s="194"/>
      <c r="FT97" s="281"/>
      <c r="FU97" s="279"/>
      <c r="FV97" s="279"/>
      <c r="FW97" s="189"/>
      <c r="FX97" s="189"/>
      <c r="FY97" s="189"/>
      <c r="FZ97" s="189"/>
      <c r="GA97" s="194"/>
      <c r="GB97" s="281"/>
      <c r="GC97" s="279"/>
      <c r="GD97" s="279"/>
      <c r="GE97" s="189"/>
      <c r="GF97" s="189"/>
      <c r="GG97" s="189"/>
      <c r="GH97" s="189"/>
      <c r="GI97" s="194"/>
      <c r="GJ97" s="281"/>
      <c r="GK97" s="279"/>
      <c r="GL97" s="279"/>
      <c r="GM97" s="189"/>
      <c r="GN97" s="189"/>
      <c r="GO97" s="189"/>
      <c r="GP97" s="189"/>
      <c r="GQ97" s="194"/>
      <c r="GR97" s="281"/>
      <c r="GS97" s="279"/>
      <c r="GT97" s="279"/>
      <c r="GU97" s="189"/>
      <c r="GV97" s="189"/>
      <c r="GW97" s="189"/>
      <c r="GX97" s="189"/>
      <c r="GY97" s="194"/>
      <c r="GZ97" s="281"/>
      <c r="HA97" s="279"/>
      <c r="HB97" s="279"/>
      <c r="HC97" s="189"/>
      <c r="HD97" s="189"/>
      <c r="HE97" s="189"/>
      <c r="HF97" s="189"/>
      <c r="HG97" s="194"/>
      <c r="HH97" s="281"/>
      <c r="HI97" s="279"/>
      <c r="HJ97" s="279"/>
      <c r="HK97" s="189"/>
      <c r="HL97" s="189"/>
      <c r="HM97" s="189"/>
      <c r="HN97" s="189"/>
      <c r="HO97" s="194"/>
      <c r="HP97" s="281"/>
      <c r="HQ97" s="279"/>
      <c r="HR97" s="279"/>
      <c r="HS97" s="189"/>
      <c r="HT97" s="189"/>
      <c r="HU97" s="189"/>
      <c r="HV97" s="189"/>
      <c r="HW97" s="194"/>
      <c r="HX97" s="281"/>
      <c r="HY97" s="279"/>
      <c r="HZ97" s="279"/>
      <c r="IA97" s="189"/>
      <c r="IB97" s="189"/>
      <c r="IC97" s="189"/>
      <c r="ID97" s="189"/>
      <c r="IE97" s="194"/>
      <c r="IF97" s="281"/>
      <c r="IG97" s="279"/>
      <c r="IH97" s="279"/>
      <c r="II97" s="189"/>
      <c r="IJ97" s="189"/>
      <c r="IK97" s="189"/>
      <c r="IL97" s="189"/>
    </row>
    <row r="98" spans="1:246" s="188" customFormat="1" ht="25.5">
      <c r="A98" s="227"/>
      <c r="B98" s="249" t="s">
        <v>485</v>
      </c>
      <c r="C98" s="290" t="s">
        <v>476</v>
      </c>
      <c r="D98" s="210">
        <v>150</v>
      </c>
      <c r="E98" s="247">
        <v>1</v>
      </c>
      <c r="F98" s="247">
        <v>1</v>
      </c>
      <c r="G98" s="210">
        <v>150</v>
      </c>
      <c r="H98" s="362">
        <f t="shared" si="6"/>
        <v>3514.703229428352</v>
      </c>
      <c r="I98" s="227"/>
      <c r="J98" s="249" t="s">
        <v>485</v>
      </c>
      <c r="K98" s="290" t="s">
        <v>476</v>
      </c>
      <c r="L98" s="210">
        <v>85</v>
      </c>
      <c r="M98" s="247">
        <v>1</v>
      </c>
      <c r="N98" s="247">
        <v>1</v>
      </c>
      <c r="O98" s="210">
        <v>85</v>
      </c>
      <c r="P98" s="291">
        <f t="shared" si="7"/>
        <v>1712.040337812624</v>
      </c>
      <c r="Q98" s="279"/>
      <c r="R98" s="279"/>
      <c r="S98" s="189"/>
      <c r="T98" s="189"/>
      <c r="U98" s="189"/>
      <c r="V98" s="189"/>
      <c r="W98" s="194"/>
      <c r="X98" s="281"/>
      <c r="Y98" s="279"/>
      <c r="Z98" s="279"/>
      <c r="AA98" s="189"/>
      <c r="AB98" s="189"/>
      <c r="AC98" s="189"/>
      <c r="AD98" s="189"/>
      <c r="AE98" s="194"/>
      <c r="AF98" s="281"/>
      <c r="AG98" s="279"/>
      <c r="AH98" s="279"/>
      <c r="AI98" s="189"/>
      <c r="AJ98" s="189"/>
      <c r="AK98" s="189"/>
      <c r="AL98" s="189"/>
      <c r="AM98" s="194"/>
      <c r="AN98" s="281"/>
      <c r="AO98" s="279"/>
      <c r="AP98" s="279"/>
      <c r="AQ98" s="189"/>
      <c r="AR98" s="189"/>
      <c r="AS98" s="189"/>
      <c r="AT98" s="189"/>
      <c r="AU98" s="194"/>
      <c r="AV98" s="281"/>
      <c r="AW98" s="279"/>
      <c r="AX98" s="279"/>
      <c r="AY98" s="189"/>
      <c r="AZ98" s="189"/>
      <c r="BA98" s="189"/>
      <c r="BB98" s="189"/>
      <c r="BC98" s="194"/>
      <c r="BD98" s="281"/>
      <c r="BE98" s="279"/>
      <c r="BF98" s="279"/>
      <c r="BG98" s="189"/>
      <c r="BH98" s="189"/>
      <c r="BI98" s="189"/>
      <c r="BJ98" s="189"/>
      <c r="BK98" s="194"/>
      <c r="BL98" s="281"/>
      <c r="BM98" s="279"/>
      <c r="BN98" s="279"/>
      <c r="BO98" s="189"/>
      <c r="BP98" s="189"/>
      <c r="BQ98" s="189"/>
      <c r="BR98" s="189"/>
      <c r="BS98" s="194"/>
      <c r="BT98" s="281"/>
      <c r="BU98" s="279"/>
      <c r="BV98" s="279"/>
      <c r="BW98" s="189"/>
      <c r="BX98" s="189"/>
      <c r="BY98" s="189"/>
      <c r="BZ98" s="189"/>
      <c r="CA98" s="194"/>
      <c r="CB98" s="281"/>
      <c r="CC98" s="279"/>
      <c r="CD98" s="279"/>
      <c r="CE98" s="189"/>
      <c r="CF98" s="189"/>
      <c r="CG98" s="189"/>
      <c r="CH98" s="189"/>
      <c r="CI98" s="194"/>
      <c r="CJ98" s="281"/>
      <c r="CK98" s="279"/>
      <c r="CL98" s="279"/>
      <c r="CM98" s="189"/>
      <c r="CN98" s="189"/>
      <c r="CO98" s="189"/>
      <c r="CP98" s="189"/>
      <c r="CQ98" s="194"/>
      <c r="CR98" s="281"/>
      <c r="CS98" s="279"/>
      <c r="CT98" s="279"/>
      <c r="CU98" s="189"/>
      <c r="CV98" s="189"/>
      <c r="CW98" s="189"/>
      <c r="CX98" s="189"/>
      <c r="CY98" s="194"/>
      <c r="CZ98" s="281"/>
      <c r="DA98" s="279"/>
      <c r="DB98" s="279"/>
      <c r="DC98" s="189"/>
      <c r="DD98" s="189"/>
      <c r="DE98" s="189"/>
      <c r="DF98" s="189"/>
      <c r="DG98" s="194"/>
      <c r="DH98" s="281"/>
      <c r="DI98" s="279"/>
      <c r="DJ98" s="279"/>
      <c r="DK98" s="189"/>
      <c r="DL98" s="189"/>
      <c r="DM98" s="189"/>
      <c r="DN98" s="189"/>
      <c r="DO98" s="194"/>
      <c r="DP98" s="281"/>
      <c r="DQ98" s="279"/>
      <c r="DR98" s="279"/>
      <c r="DS98" s="189"/>
      <c r="DT98" s="189"/>
      <c r="DU98" s="189"/>
      <c r="DV98" s="189"/>
      <c r="DW98" s="194"/>
      <c r="DX98" s="281"/>
      <c r="DY98" s="279"/>
      <c r="DZ98" s="279"/>
      <c r="EA98" s="189"/>
      <c r="EB98" s="189"/>
      <c r="EC98" s="189"/>
      <c r="ED98" s="189"/>
      <c r="EE98" s="194"/>
      <c r="EF98" s="281"/>
      <c r="EG98" s="279"/>
      <c r="EH98" s="279"/>
      <c r="EI98" s="189"/>
      <c r="EJ98" s="189"/>
      <c r="EK98" s="189"/>
      <c r="EL98" s="189"/>
      <c r="EM98" s="194"/>
      <c r="EN98" s="281"/>
      <c r="EO98" s="279"/>
      <c r="EP98" s="279"/>
      <c r="EQ98" s="189"/>
      <c r="ER98" s="189"/>
      <c r="ES98" s="189"/>
      <c r="ET98" s="189"/>
      <c r="EU98" s="194"/>
      <c r="EV98" s="281"/>
      <c r="EW98" s="279"/>
      <c r="EX98" s="279"/>
      <c r="EY98" s="189"/>
      <c r="EZ98" s="189"/>
      <c r="FA98" s="189"/>
      <c r="FB98" s="189"/>
      <c r="FC98" s="194"/>
      <c r="FD98" s="281"/>
      <c r="FE98" s="279"/>
      <c r="FF98" s="279"/>
      <c r="FG98" s="189"/>
      <c r="FH98" s="189"/>
      <c r="FI98" s="189"/>
      <c r="FJ98" s="189"/>
      <c r="FK98" s="194"/>
      <c r="FL98" s="281"/>
      <c r="FM98" s="279"/>
      <c r="FN98" s="279"/>
      <c r="FO98" s="189"/>
      <c r="FP98" s="189"/>
      <c r="FQ98" s="189"/>
      <c r="FR98" s="189"/>
      <c r="FS98" s="194"/>
      <c r="FT98" s="281"/>
      <c r="FU98" s="279"/>
      <c r="FV98" s="279"/>
      <c r="FW98" s="189"/>
      <c r="FX98" s="189"/>
      <c r="FY98" s="189"/>
      <c r="FZ98" s="189"/>
      <c r="GA98" s="194"/>
      <c r="GB98" s="281"/>
      <c r="GC98" s="279"/>
      <c r="GD98" s="279"/>
      <c r="GE98" s="189"/>
      <c r="GF98" s="189"/>
      <c r="GG98" s="189"/>
      <c r="GH98" s="189"/>
      <c r="GI98" s="194"/>
      <c r="GJ98" s="281"/>
      <c r="GK98" s="279"/>
      <c r="GL98" s="279"/>
      <c r="GM98" s="189"/>
      <c r="GN98" s="189"/>
      <c r="GO98" s="189"/>
      <c r="GP98" s="189"/>
      <c r="GQ98" s="194"/>
      <c r="GR98" s="281"/>
      <c r="GS98" s="279"/>
      <c r="GT98" s="279"/>
      <c r="GU98" s="189"/>
      <c r="GV98" s="189"/>
      <c r="GW98" s="189"/>
      <c r="GX98" s="189"/>
      <c r="GY98" s="194"/>
      <c r="GZ98" s="281"/>
      <c r="HA98" s="279"/>
      <c r="HB98" s="279"/>
      <c r="HC98" s="189"/>
      <c r="HD98" s="189"/>
      <c r="HE98" s="189"/>
      <c r="HF98" s="189"/>
      <c r="HG98" s="194"/>
      <c r="HH98" s="281"/>
      <c r="HI98" s="279"/>
      <c r="HJ98" s="279"/>
      <c r="HK98" s="189"/>
      <c r="HL98" s="189"/>
      <c r="HM98" s="189"/>
      <c r="HN98" s="189"/>
      <c r="HO98" s="194"/>
      <c r="HP98" s="281"/>
      <c r="HQ98" s="279"/>
      <c r="HR98" s="279"/>
      <c r="HS98" s="189"/>
      <c r="HT98" s="189"/>
      <c r="HU98" s="189"/>
      <c r="HV98" s="189"/>
      <c r="HW98" s="194"/>
      <c r="HX98" s="281"/>
      <c r="HY98" s="279"/>
      <c r="HZ98" s="279"/>
      <c r="IA98" s="189"/>
      <c r="IB98" s="189"/>
      <c r="IC98" s="189"/>
      <c r="ID98" s="189"/>
      <c r="IE98" s="194"/>
      <c r="IF98" s="281"/>
      <c r="IG98" s="279"/>
      <c r="IH98" s="279"/>
      <c r="II98" s="189"/>
      <c r="IJ98" s="189"/>
      <c r="IK98" s="189"/>
      <c r="IL98" s="189"/>
    </row>
    <row r="99" spans="1:246" s="188" customFormat="1" ht="12.75">
      <c r="A99" s="227"/>
      <c r="B99" s="249" t="s">
        <v>568</v>
      </c>
      <c r="C99" s="290" t="s">
        <v>476</v>
      </c>
      <c r="D99" s="210">
        <f>100+32</f>
        <v>132</v>
      </c>
      <c r="E99" s="247">
        <v>1</v>
      </c>
      <c r="F99" s="247">
        <v>1</v>
      </c>
      <c r="G99" s="210">
        <f>100+32</f>
        <v>132</v>
      </c>
      <c r="H99" s="362">
        <f t="shared" si="6"/>
        <v>3092.9388418969497</v>
      </c>
      <c r="I99" s="227"/>
      <c r="J99" s="249" t="s">
        <v>545</v>
      </c>
      <c r="K99" s="290" t="s">
        <v>476</v>
      </c>
      <c r="L99" s="210">
        <v>153</v>
      </c>
      <c r="M99" s="247">
        <v>1</v>
      </c>
      <c r="N99" s="247">
        <v>1</v>
      </c>
      <c r="O99" s="210">
        <v>153</v>
      </c>
      <c r="P99" s="291">
        <f t="shared" si="7"/>
        <v>3081.672608062723</v>
      </c>
      <c r="Q99" s="279"/>
      <c r="R99" s="279"/>
      <c r="S99" s="189"/>
      <c r="T99" s="189"/>
      <c r="U99" s="189"/>
      <c r="V99" s="189"/>
      <c r="W99" s="194"/>
      <c r="X99" s="281"/>
      <c r="Y99" s="279"/>
      <c r="Z99" s="279"/>
      <c r="AA99" s="189"/>
      <c r="AB99" s="189"/>
      <c r="AC99" s="189"/>
      <c r="AD99" s="189"/>
      <c r="AE99" s="194"/>
      <c r="AF99" s="281"/>
      <c r="AG99" s="279"/>
      <c r="AH99" s="279"/>
      <c r="AI99" s="189"/>
      <c r="AJ99" s="189"/>
      <c r="AK99" s="189"/>
      <c r="AL99" s="189"/>
      <c r="AM99" s="194"/>
      <c r="AN99" s="281"/>
      <c r="AO99" s="279"/>
      <c r="AP99" s="279"/>
      <c r="AQ99" s="189"/>
      <c r="AR99" s="189"/>
      <c r="AS99" s="189"/>
      <c r="AT99" s="189"/>
      <c r="AU99" s="194"/>
      <c r="AV99" s="281"/>
      <c r="AW99" s="279"/>
      <c r="AX99" s="279"/>
      <c r="AY99" s="189"/>
      <c r="AZ99" s="189"/>
      <c r="BA99" s="189"/>
      <c r="BB99" s="189"/>
      <c r="BC99" s="194"/>
      <c r="BD99" s="281"/>
      <c r="BE99" s="279"/>
      <c r="BF99" s="279"/>
      <c r="BG99" s="189"/>
      <c r="BH99" s="189"/>
      <c r="BI99" s="189"/>
      <c r="BJ99" s="189"/>
      <c r="BK99" s="194"/>
      <c r="BL99" s="281"/>
      <c r="BM99" s="279"/>
      <c r="BN99" s="279"/>
      <c r="BO99" s="189"/>
      <c r="BP99" s="189"/>
      <c r="BQ99" s="189"/>
      <c r="BR99" s="189"/>
      <c r="BS99" s="194"/>
      <c r="BT99" s="281"/>
      <c r="BU99" s="279"/>
      <c r="BV99" s="279"/>
      <c r="BW99" s="189"/>
      <c r="BX99" s="189"/>
      <c r="BY99" s="189"/>
      <c r="BZ99" s="189"/>
      <c r="CA99" s="194"/>
      <c r="CB99" s="281"/>
      <c r="CC99" s="279"/>
      <c r="CD99" s="279"/>
      <c r="CE99" s="189"/>
      <c r="CF99" s="189"/>
      <c r="CG99" s="189"/>
      <c r="CH99" s="189"/>
      <c r="CI99" s="194"/>
      <c r="CJ99" s="281"/>
      <c r="CK99" s="279"/>
      <c r="CL99" s="279"/>
      <c r="CM99" s="189"/>
      <c r="CN99" s="189"/>
      <c r="CO99" s="189"/>
      <c r="CP99" s="189"/>
      <c r="CQ99" s="194"/>
      <c r="CR99" s="281"/>
      <c r="CS99" s="279"/>
      <c r="CT99" s="279"/>
      <c r="CU99" s="189"/>
      <c r="CV99" s="189"/>
      <c r="CW99" s="189"/>
      <c r="CX99" s="189"/>
      <c r="CY99" s="194"/>
      <c r="CZ99" s="281"/>
      <c r="DA99" s="279"/>
      <c r="DB99" s="279"/>
      <c r="DC99" s="189"/>
      <c r="DD99" s="189"/>
      <c r="DE99" s="189"/>
      <c r="DF99" s="189"/>
      <c r="DG99" s="194"/>
      <c r="DH99" s="281"/>
      <c r="DI99" s="279"/>
      <c r="DJ99" s="279"/>
      <c r="DK99" s="189"/>
      <c r="DL99" s="189"/>
      <c r="DM99" s="189"/>
      <c r="DN99" s="189"/>
      <c r="DO99" s="194"/>
      <c r="DP99" s="281"/>
      <c r="DQ99" s="279"/>
      <c r="DR99" s="279"/>
      <c r="DS99" s="189"/>
      <c r="DT99" s="189"/>
      <c r="DU99" s="189"/>
      <c r="DV99" s="189"/>
      <c r="DW99" s="194"/>
      <c r="DX99" s="281"/>
      <c r="DY99" s="279"/>
      <c r="DZ99" s="279"/>
      <c r="EA99" s="189"/>
      <c r="EB99" s="189"/>
      <c r="EC99" s="189"/>
      <c r="ED99" s="189"/>
      <c r="EE99" s="194"/>
      <c r="EF99" s="281"/>
      <c r="EG99" s="279"/>
      <c r="EH99" s="279"/>
      <c r="EI99" s="189"/>
      <c r="EJ99" s="189"/>
      <c r="EK99" s="189"/>
      <c r="EL99" s="189"/>
      <c r="EM99" s="194"/>
      <c r="EN99" s="281"/>
      <c r="EO99" s="279"/>
      <c r="EP99" s="279"/>
      <c r="EQ99" s="189"/>
      <c r="ER99" s="189"/>
      <c r="ES99" s="189"/>
      <c r="ET99" s="189"/>
      <c r="EU99" s="194"/>
      <c r="EV99" s="281"/>
      <c r="EW99" s="279"/>
      <c r="EX99" s="279"/>
      <c r="EY99" s="189"/>
      <c r="EZ99" s="189"/>
      <c r="FA99" s="189"/>
      <c r="FB99" s="189"/>
      <c r="FC99" s="194"/>
      <c r="FD99" s="281"/>
      <c r="FE99" s="279"/>
      <c r="FF99" s="279"/>
      <c r="FG99" s="189"/>
      <c r="FH99" s="189"/>
      <c r="FI99" s="189"/>
      <c r="FJ99" s="189"/>
      <c r="FK99" s="194"/>
      <c r="FL99" s="281"/>
      <c r="FM99" s="279"/>
      <c r="FN99" s="279"/>
      <c r="FO99" s="189"/>
      <c r="FP99" s="189"/>
      <c r="FQ99" s="189"/>
      <c r="FR99" s="189"/>
      <c r="FS99" s="194"/>
      <c r="FT99" s="281"/>
      <c r="FU99" s="279"/>
      <c r="FV99" s="279"/>
      <c r="FW99" s="189"/>
      <c r="FX99" s="189"/>
      <c r="FY99" s="189"/>
      <c r="FZ99" s="189"/>
      <c r="GA99" s="194"/>
      <c r="GB99" s="281"/>
      <c r="GC99" s="279"/>
      <c r="GD99" s="279"/>
      <c r="GE99" s="189"/>
      <c r="GF99" s="189"/>
      <c r="GG99" s="189"/>
      <c r="GH99" s="189"/>
      <c r="GI99" s="194"/>
      <c r="GJ99" s="281"/>
      <c r="GK99" s="279"/>
      <c r="GL99" s="279"/>
      <c r="GM99" s="189"/>
      <c r="GN99" s="189"/>
      <c r="GO99" s="189"/>
      <c r="GP99" s="189"/>
      <c r="GQ99" s="194"/>
      <c r="GR99" s="281"/>
      <c r="GS99" s="279"/>
      <c r="GT99" s="279"/>
      <c r="GU99" s="189"/>
      <c r="GV99" s="189"/>
      <c r="GW99" s="189"/>
      <c r="GX99" s="189"/>
      <c r="GY99" s="194"/>
      <c r="GZ99" s="281"/>
      <c r="HA99" s="279"/>
      <c r="HB99" s="279"/>
      <c r="HC99" s="189"/>
      <c r="HD99" s="189"/>
      <c r="HE99" s="189"/>
      <c r="HF99" s="189"/>
      <c r="HG99" s="194"/>
      <c r="HH99" s="281"/>
      <c r="HI99" s="279"/>
      <c r="HJ99" s="279"/>
      <c r="HK99" s="189"/>
      <c r="HL99" s="189"/>
      <c r="HM99" s="189"/>
      <c r="HN99" s="189"/>
      <c r="HO99" s="194"/>
      <c r="HP99" s="281"/>
      <c r="HQ99" s="279"/>
      <c r="HR99" s="279"/>
      <c r="HS99" s="189"/>
      <c r="HT99" s="189"/>
      <c r="HU99" s="189"/>
      <c r="HV99" s="189"/>
      <c r="HW99" s="194"/>
      <c r="HX99" s="281"/>
      <c r="HY99" s="279"/>
      <c r="HZ99" s="279"/>
      <c r="IA99" s="189"/>
      <c r="IB99" s="189"/>
      <c r="IC99" s="189"/>
      <c r="ID99" s="189"/>
      <c r="IE99" s="194"/>
      <c r="IF99" s="281"/>
      <c r="IG99" s="279"/>
      <c r="IH99" s="279"/>
      <c r="II99" s="189"/>
      <c r="IJ99" s="189"/>
      <c r="IK99" s="189"/>
      <c r="IL99" s="189"/>
    </row>
    <row r="100" spans="1:246" s="188" customFormat="1" ht="12.75">
      <c r="A100" s="227"/>
      <c r="B100" s="266" t="s">
        <v>450</v>
      </c>
      <c r="C100" s="290" t="s">
        <v>476</v>
      </c>
      <c r="D100" s="210">
        <v>60</v>
      </c>
      <c r="E100" s="247">
        <v>1</v>
      </c>
      <c r="F100" s="247">
        <v>1</v>
      </c>
      <c r="G100" s="210">
        <v>60</v>
      </c>
      <c r="H100" s="362">
        <f t="shared" si="6"/>
        <v>1405.8812917713408</v>
      </c>
      <c r="I100" s="227"/>
      <c r="J100" s="266" t="s">
        <v>450</v>
      </c>
      <c r="K100" s="290" t="s">
        <v>476</v>
      </c>
      <c r="L100" s="210">
        <v>114</v>
      </c>
      <c r="M100" s="247">
        <v>1</v>
      </c>
      <c r="N100" s="247">
        <v>1</v>
      </c>
      <c r="O100" s="210">
        <v>114</v>
      </c>
      <c r="P100" s="291">
        <f t="shared" si="7"/>
        <v>2296.148217772225</v>
      </c>
      <c r="Q100" s="279"/>
      <c r="R100" s="279"/>
      <c r="S100" s="189"/>
      <c r="T100" s="189"/>
      <c r="U100" s="189"/>
      <c r="V100" s="189"/>
      <c r="W100" s="194"/>
      <c r="X100" s="281"/>
      <c r="Y100" s="279"/>
      <c r="Z100" s="279"/>
      <c r="AA100" s="189"/>
      <c r="AB100" s="189"/>
      <c r="AC100" s="189"/>
      <c r="AD100" s="189"/>
      <c r="AE100" s="194"/>
      <c r="AF100" s="281"/>
      <c r="AG100" s="279"/>
      <c r="AH100" s="279"/>
      <c r="AI100" s="189"/>
      <c r="AJ100" s="189"/>
      <c r="AK100" s="189"/>
      <c r="AL100" s="189"/>
      <c r="AM100" s="194"/>
      <c r="AN100" s="281"/>
      <c r="AO100" s="279"/>
      <c r="AP100" s="279"/>
      <c r="AQ100" s="189"/>
      <c r="AR100" s="189"/>
      <c r="AS100" s="189"/>
      <c r="AT100" s="189"/>
      <c r="AU100" s="194"/>
      <c r="AV100" s="281"/>
      <c r="AW100" s="279"/>
      <c r="AX100" s="279"/>
      <c r="AY100" s="189"/>
      <c r="AZ100" s="189"/>
      <c r="BA100" s="189"/>
      <c r="BB100" s="189"/>
      <c r="BC100" s="194"/>
      <c r="BD100" s="281"/>
      <c r="BE100" s="279"/>
      <c r="BF100" s="279"/>
      <c r="BG100" s="189"/>
      <c r="BH100" s="189"/>
      <c r="BI100" s="189"/>
      <c r="BJ100" s="189"/>
      <c r="BK100" s="194"/>
      <c r="BL100" s="281"/>
      <c r="BM100" s="279"/>
      <c r="BN100" s="279"/>
      <c r="BO100" s="189"/>
      <c r="BP100" s="189"/>
      <c r="BQ100" s="189"/>
      <c r="BR100" s="189"/>
      <c r="BS100" s="194"/>
      <c r="BT100" s="281"/>
      <c r="BU100" s="279"/>
      <c r="BV100" s="279"/>
      <c r="BW100" s="189"/>
      <c r="BX100" s="189"/>
      <c r="BY100" s="189"/>
      <c r="BZ100" s="189"/>
      <c r="CA100" s="194"/>
      <c r="CB100" s="281"/>
      <c r="CC100" s="279"/>
      <c r="CD100" s="279"/>
      <c r="CE100" s="189"/>
      <c r="CF100" s="189"/>
      <c r="CG100" s="189"/>
      <c r="CH100" s="189"/>
      <c r="CI100" s="194"/>
      <c r="CJ100" s="281"/>
      <c r="CK100" s="279"/>
      <c r="CL100" s="279"/>
      <c r="CM100" s="189"/>
      <c r="CN100" s="189"/>
      <c r="CO100" s="189"/>
      <c r="CP100" s="189"/>
      <c r="CQ100" s="194"/>
      <c r="CR100" s="281"/>
      <c r="CS100" s="279"/>
      <c r="CT100" s="279"/>
      <c r="CU100" s="189"/>
      <c r="CV100" s="189"/>
      <c r="CW100" s="189"/>
      <c r="CX100" s="189"/>
      <c r="CY100" s="194"/>
      <c r="CZ100" s="281"/>
      <c r="DA100" s="279"/>
      <c r="DB100" s="279"/>
      <c r="DC100" s="189"/>
      <c r="DD100" s="189"/>
      <c r="DE100" s="189"/>
      <c r="DF100" s="189"/>
      <c r="DG100" s="194"/>
      <c r="DH100" s="281"/>
      <c r="DI100" s="279"/>
      <c r="DJ100" s="279"/>
      <c r="DK100" s="189"/>
      <c r="DL100" s="189"/>
      <c r="DM100" s="189"/>
      <c r="DN100" s="189"/>
      <c r="DO100" s="194"/>
      <c r="DP100" s="281"/>
      <c r="DQ100" s="279"/>
      <c r="DR100" s="279"/>
      <c r="DS100" s="189"/>
      <c r="DT100" s="189"/>
      <c r="DU100" s="189"/>
      <c r="DV100" s="189"/>
      <c r="DW100" s="194"/>
      <c r="DX100" s="281"/>
      <c r="DY100" s="279"/>
      <c r="DZ100" s="279"/>
      <c r="EA100" s="189"/>
      <c r="EB100" s="189"/>
      <c r="EC100" s="189"/>
      <c r="ED100" s="189"/>
      <c r="EE100" s="194"/>
      <c r="EF100" s="281"/>
      <c r="EG100" s="279"/>
      <c r="EH100" s="279"/>
      <c r="EI100" s="189"/>
      <c r="EJ100" s="189"/>
      <c r="EK100" s="189"/>
      <c r="EL100" s="189"/>
      <c r="EM100" s="194"/>
      <c r="EN100" s="281"/>
      <c r="EO100" s="279"/>
      <c r="EP100" s="279"/>
      <c r="EQ100" s="189"/>
      <c r="ER100" s="189"/>
      <c r="ES100" s="189"/>
      <c r="ET100" s="189"/>
      <c r="EU100" s="194"/>
      <c r="EV100" s="281"/>
      <c r="EW100" s="279"/>
      <c r="EX100" s="279"/>
      <c r="EY100" s="189"/>
      <c r="EZ100" s="189"/>
      <c r="FA100" s="189"/>
      <c r="FB100" s="189"/>
      <c r="FC100" s="194"/>
      <c r="FD100" s="281"/>
      <c r="FE100" s="279"/>
      <c r="FF100" s="279"/>
      <c r="FG100" s="189"/>
      <c r="FH100" s="189"/>
      <c r="FI100" s="189"/>
      <c r="FJ100" s="189"/>
      <c r="FK100" s="194"/>
      <c r="FL100" s="281"/>
      <c r="FM100" s="279"/>
      <c r="FN100" s="279"/>
      <c r="FO100" s="189"/>
      <c r="FP100" s="189"/>
      <c r="FQ100" s="189"/>
      <c r="FR100" s="189"/>
      <c r="FS100" s="194"/>
      <c r="FT100" s="281"/>
      <c r="FU100" s="279"/>
      <c r="FV100" s="279"/>
      <c r="FW100" s="189"/>
      <c r="FX100" s="189"/>
      <c r="FY100" s="189"/>
      <c r="FZ100" s="189"/>
      <c r="GA100" s="194"/>
      <c r="GB100" s="281"/>
      <c r="GC100" s="279"/>
      <c r="GD100" s="279"/>
      <c r="GE100" s="189"/>
      <c r="GF100" s="189"/>
      <c r="GG100" s="189"/>
      <c r="GH100" s="189"/>
      <c r="GI100" s="194"/>
      <c r="GJ100" s="281"/>
      <c r="GK100" s="279"/>
      <c r="GL100" s="279"/>
      <c r="GM100" s="189"/>
      <c r="GN100" s="189"/>
      <c r="GO100" s="189"/>
      <c r="GP100" s="189"/>
      <c r="GQ100" s="194"/>
      <c r="GR100" s="281"/>
      <c r="GS100" s="279"/>
      <c r="GT100" s="279"/>
      <c r="GU100" s="189"/>
      <c r="GV100" s="189"/>
      <c r="GW100" s="189"/>
      <c r="GX100" s="189"/>
      <c r="GY100" s="194"/>
      <c r="GZ100" s="281"/>
      <c r="HA100" s="279"/>
      <c r="HB100" s="279"/>
      <c r="HC100" s="189"/>
      <c r="HD100" s="189"/>
      <c r="HE100" s="189"/>
      <c r="HF100" s="189"/>
      <c r="HG100" s="194"/>
      <c r="HH100" s="281"/>
      <c r="HI100" s="279"/>
      <c r="HJ100" s="279"/>
      <c r="HK100" s="189"/>
      <c r="HL100" s="189"/>
      <c r="HM100" s="189"/>
      <c r="HN100" s="189"/>
      <c r="HO100" s="194"/>
      <c r="HP100" s="281"/>
      <c r="HQ100" s="279"/>
      <c r="HR100" s="279"/>
      <c r="HS100" s="189"/>
      <c r="HT100" s="189"/>
      <c r="HU100" s="189"/>
      <c r="HV100" s="189"/>
      <c r="HW100" s="194"/>
      <c r="HX100" s="281"/>
      <c r="HY100" s="279"/>
      <c r="HZ100" s="279"/>
      <c r="IA100" s="189"/>
      <c r="IB100" s="189"/>
      <c r="IC100" s="189"/>
      <c r="ID100" s="189"/>
      <c r="IE100" s="194"/>
      <c r="IF100" s="281"/>
      <c r="IG100" s="279"/>
      <c r="IH100" s="279"/>
      <c r="II100" s="189"/>
      <c r="IJ100" s="189"/>
      <c r="IK100" s="189"/>
      <c r="IL100" s="189"/>
    </row>
    <row r="101" spans="1:246" s="188" customFormat="1" ht="12.75">
      <c r="A101" s="227"/>
      <c r="B101" s="266" t="s">
        <v>567</v>
      </c>
      <c r="C101" s="290" t="s">
        <v>476</v>
      </c>
      <c r="D101" s="210">
        <v>60</v>
      </c>
      <c r="E101" s="247">
        <v>1</v>
      </c>
      <c r="F101" s="247">
        <v>1</v>
      </c>
      <c r="G101" s="210">
        <v>60</v>
      </c>
      <c r="H101" s="362">
        <f t="shared" si="6"/>
        <v>1405.8812917713408</v>
      </c>
      <c r="I101" s="227"/>
      <c r="J101" s="266" t="s">
        <v>486</v>
      </c>
      <c r="K101" s="290" t="s">
        <v>476</v>
      </c>
      <c r="L101" s="210">
        <v>305</v>
      </c>
      <c r="M101" s="247">
        <v>1</v>
      </c>
      <c r="N101" s="247">
        <v>1</v>
      </c>
      <c r="O101" s="210">
        <v>305</v>
      </c>
      <c r="P101" s="291">
        <f t="shared" si="7"/>
        <v>6143.203565092356</v>
      </c>
      <c r="Q101" s="279"/>
      <c r="R101" s="279"/>
      <c r="S101" s="189"/>
      <c r="T101" s="189"/>
      <c r="U101" s="189"/>
      <c r="V101" s="189"/>
      <c r="W101" s="194"/>
      <c r="X101" s="281"/>
      <c r="Y101" s="279"/>
      <c r="Z101" s="279"/>
      <c r="AA101" s="189"/>
      <c r="AB101" s="189"/>
      <c r="AC101" s="189"/>
      <c r="AD101" s="189"/>
      <c r="AE101" s="194"/>
      <c r="AF101" s="281"/>
      <c r="AG101" s="279"/>
      <c r="AH101" s="279"/>
      <c r="AI101" s="189"/>
      <c r="AJ101" s="189"/>
      <c r="AK101" s="189"/>
      <c r="AL101" s="189"/>
      <c r="AM101" s="194"/>
      <c r="AN101" s="281"/>
      <c r="AO101" s="279"/>
      <c r="AP101" s="279"/>
      <c r="AQ101" s="189"/>
      <c r="AR101" s="189"/>
      <c r="AS101" s="189"/>
      <c r="AT101" s="189"/>
      <c r="AU101" s="194"/>
      <c r="AV101" s="281"/>
      <c r="AW101" s="279"/>
      <c r="AX101" s="279"/>
      <c r="AY101" s="189"/>
      <c r="AZ101" s="189"/>
      <c r="BA101" s="189"/>
      <c r="BB101" s="189"/>
      <c r="BC101" s="194"/>
      <c r="BD101" s="281"/>
      <c r="BE101" s="279"/>
      <c r="BF101" s="279"/>
      <c r="BG101" s="189"/>
      <c r="BH101" s="189"/>
      <c r="BI101" s="189"/>
      <c r="BJ101" s="189"/>
      <c r="BK101" s="194"/>
      <c r="BL101" s="281"/>
      <c r="BM101" s="279"/>
      <c r="BN101" s="279"/>
      <c r="BO101" s="189"/>
      <c r="BP101" s="189"/>
      <c r="BQ101" s="189"/>
      <c r="BR101" s="189"/>
      <c r="BS101" s="194"/>
      <c r="BT101" s="281"/>
      <c r="BU101" s="279"/>
      <c r="BV101" s="279"/>
      <c r="BW101" s="189"/>
      <c r="BX101" s="189"/>
      <c r="BY101" s="189"/>
      <c r="BZ101" s="189"/>
      <c r="CA101" s="194"/>
      <c r="CB101" s="281"/>
      <c r="CC101" s="279"/>
      <c r="CD101" s="279"/>
      <c r="CE101" s="189"/>
      <c r="CF101" s="189"/>
      <c r="CG101" s="189"/>
      <c r="CH101" s="189"/>
      <c r="CI101" s="194"/>
      <c r="CJ101" s="281"/>
      <c r="CK101" s="279"/>
      <c r="CL101" s="279"/>
      <c r="CM101" s="189"/>
      <c r="CN101" s="189"/>
      <c r="CO101" s="189"/>
      <c r="CP101" s="189"/>
      <c r="CQ101" s="194"/>
      <c r="CR101" s="281"/>
      <c r="CS101" s="279"/>
      <c r="CT101" s="279"/>
      <c r="CU101" s="189"/>
      <c r="CV101" s="189"/>
      <c r="CW101" s="189"/>
      <c r="CX101" s="189"/>
      <c r="CY101" s="194"/>
      <c r="CZ101" s="281"/>
      <c r="DA101" s="279"/>
      <c r="DB101" s="279"/>
      <c r="DC101" s="189"/>
      <c r="DD101" s="189"/>
      <c r="DE101" s="189"/>
      <c r="DF101" s="189"/>
      <c r="DG101" s="194"/>
      <c r="DH101" s="281"/>
      <c r="DI101" s="279"/>
      <c r="DJ101" s="279"/>
      <c r="DK101" s="189"/>
      <c r="DL101" s="189"/>
      <c r="DM101" s="189"/>
      <c r="DN101" s="189"/>
      <c r="DO101" s="194"/>
      <c r="DP101" s="281"/>
      <c r="DQ101" s="279"/>
      <c r="DR101" s="279"/>
      <c r="DS101" s="189"/>
      <c r="DT101" s="189"/>
      <c r="DU101" s="189"/>
      <c r="DV101" s="189"/>
      <c r="DW101" s="194"/>
      <c r="DX101" s="281"/>
      <c r="DY101" s="279"/>
      <c r="DZ101" s="279"/>
      <c r="EA101" s="189"/>
      <c r="EB101" s="189"/>
      <c r="EC101" s="189"/>
      <c r="ED101" s="189"/>
      <c r="EE101" s="194"/>
      <c r="EF101" s="281"/>
      <c r="EG101" s="279"/>
      <c r="EH101" s="279"/>
      <c r="EI101" s="189"/>
      <c r="EJ101" s="189"/>
      <c r="EK101" s="189"/>
      <c r="EL101" s="189"/>
      <c r="EM101" s="194"/>
      <c r="EN101" s="281"/>
      <c r="EO101" s="279"/>
      <c r="EP101" s="279"/>
      <c r="EQ101" s="189"/>
      <c r="ER101" s="189"/>
      <c r="ES101" s="189"/>
      <c r="ET101" s="189"/>
      <c r="EU101" s="194"/>
      <c r="EV101" s="281"/>
      <c r="EW101" s="279"/>
      <c r="EX101" s="279"/>
      <c r="EY101" s="189"/>
      <c r="EZ101" s="189"/>
      <c r="FA101" s="189"/>
      <c r="FB101" s="189"/>
      <c r="FC101" s="194"/>
      <c r="FD101" s="281"/>
      <c r="FE101" s="279"/>
      <c r="FF101" s="279"/>
      <c r="FG101" s="189"/>
      <c r="FH101" s="189"/>
      <c r="FI101" s="189"/>
      <c r="FJ101" s="189"/>
      <c r="FK101" s="194"/>
      <c r="FL101" s="281"/>
      <c r="FM101" s="279"/>
      <c r="FN101" s="279"/>
      <c r="FO101" s="189"/>
      <c r="FP101" s="189"/>
      <c r="FQ101" s="189"/>
      <c r="FR101" s="189"/>
      <c r="FS101" s="194"/>
      <c r="FT101" s="281"/>
      <c r="FU101" s="279"/>
      <c r="FV101" s="279"/>
      <c r="FW101" s="189"/>
      <c r="FX101" s="189"/>
      <c r="FY101" s="189"/>
      <c r="FZ101" s="189"/>
      <c r="GA101" s="194"/>
      <c r="GB101" s="281"/>
      <c r="GC101" s="279"/>
      <c r="GD101" s="279"/>
      <c r="GE101" s="189"/>
      <c r="GF101" s="189"/>
      <c r="GG101" s="189"/>
      <c r="GH101" s="189"/>
      <c r="GI101" s="194"/>
      <c r="GJ101" s="281"/>
      <c r="GK101" s="279"/>
      <c r="GL101" s="279"/>
      <c r="GM101" s="189"/>
      <c r="GN101" s="189"/>
      <c r="GO101" s="189"/>
      <c r="GP101" s="189"/>
      <c r="GQ101" s="194"/>
      <c r="GR101" s="281"/>
      <c r="GS101" s="279"/>
      <c r="GT101" s="279"/>
      <c r="GU101" s="189"/>
      <c r="GV101" s="189"/>
      <c r="GW101" s="189"/>
      <c r="GX101" s="189"/>
      <c r="GY101" s="194"/>
      <c r="GZ101" s="281"/>
      <c r="HA101" s="279"/>
      <c r="HB101" s="279"/>
      <c r="HC101" s="189"/>
      <c r="HD101" s="189"/>
      <c r="HE101" s="189"/>
      <c r="HF101" s="189"/>
      <c r="HG101" s="194"/>
      <c r="HH101" s="281"/>
      <c r="HI101" s="279"/>
      <c r="HJ101" s="279"/>
      <c r="HK101" s="189"/>
      <c r="HL101" s="189"/>
      <c r="HM101" s="189"/>
      <c r="HN101" s="189"/>
      <c r="HO101" s="194"/>
      <c r="HP101" s="281"/>
      <c r="HQ101" s="279"/>
      <c r="HR101" s="279"/>
      <c r="HS101" s="189"/>
      <c r="HT101" s="189"/>
      <c r="HU101" s="189"/>
      <c r="HV101" s="189"/>
      <c r="HW101" s="194"/>
      <c r="HX101" s="281"/>
      <c r="HY101" s="279"/>
      <c r="HZ101" s="279"/>
      <c r="IA101" s="189"/>
      <c r="IB101" s="189"/>
      <c r="IC101" s="189"/>
      <c r="ID101" s="189"/>
      <c r="IE101" s="194"/>
      <c r="IF101" s="281"/>
      <c r="IG101" s="279"/>
      <c r="IH101" s="279"/>
      <c r="II101" s="189"/>
      <c r="IJ101" s="189"/>
      <c r="IK101" s="189"/>
      <c r="IL101" s="189"/>
    </row>
    <row r="102" spans="1:246" s="188" customFormat="1" ht="12.75">
      <c r="A102" s="227"/>
      <c r="B102" s="266" t="s">
        <v>569</v>
      </c>
      <c r="C102" s="290" t="s">
        <v>476</v>
      </c>
      <c r="D102" s="210">
        <v>150</v>
      </c>
      <c r="E102" s="247">
        <v>1</v>
      </c>
      <c r="F102" s="247">
        <v>1</v>
      </c>
      <c r="G102" s="210">
        <v>150</v>
      </c>
      <c r="H102" s="362">
        <f t="shared" si="6"/>
        <v>3514.703229428352</v>
      </c>
      <c r="I102" s="227"/>
      <c r="J102" s="266" t="s">
        <v>459</v>
      </c>
      <c r="K102" s="290" t="s">
        <v>476</v>
      </c>
      <c r="L102" s="210">
        <v>30</v>
      </c>
      <c r="M102" s="247">
        <v>1</v>
      </c>
      <c r="N102" s="247">
        <v>1</v>
      </c>
      <c r="O102" s="210">
        <v>30</v>
      </c>
      <c r="P102" s="291">
        <f t="shared" si="7"/>
        <v>604.2495309926908</v>
      </c>
      <c r="Q102" s="279"/>
      <c r="R102" s="279"/>
      <c r="S102" s="189"/>
      <c r="T102" s="189"/>
      <c r="U102" s="189"/>
      <c r="V102" s="189"/>
      <c r="W102" s="194"/>
      <c r="X102" s="281"/>
      <c r="Y102" s="279"/>
      <c r="Z102" s="279"/>
      <c r="AA102" s="189"/>
      <c r="AB102" s="189"/>
      <c r="AC102" s="189"/>
      <c r="AD102" s="189"/>
      <c r="AE102" s="194"/>
      <c r="AF102" s="281"/>
      <c r="AG102" s="279"/>
      <c r="AH102" s="279"/>
      <c r="AI102" s="189"/>
      <c r="AJ102" s="189"/>
      <c r="AK102" s="189"/>
      <c r="AL102" s="189"/>
      <c r="AM102" s="194"/>
      <c r="AN102" s="281"/>
      <c r="AO102" s="279"/>
      <c r="AP102" s="279"/>
      <c r="AQ102" s="189"/>
      <c r="AR102" s="189"/>
      <c r="AS102" s="189"/>
      <c r="AT102" s="189"/>
      <c r="AU102" s="194"/>
      <c r="AV102" s="281"/>
      <c r="AW102" s="279"/>
      <c r="AX102" s="279"/>
      <c r="AY102" s="189"/>
      <c r="AZ102" s="189"/>
      <c r="BA102" s="189"/>
      <c r="BB102" s="189"/>
      <c r="BC102" s="194"/>
      <c r="BD102" s="281"/>
      <c r="BE102" s="279"/>
      <c r="BF102" s="279"/>
      <c r="BG102" s="189"/>
      <c r="BH102" s="189"/>
      <c r="BI102" s="189"/>
      <c r="BJ102" s="189"/>
      <c r="BK102" s="194"/>
      <c r="BL102" s="281"/>
      <c r="BM102" s="279"/>
      <c r="BN102" s="279"/>
      <c r="BO102" s="189"/>
      <c r="BP102" s="189"/>
      <c r="BQ102" s="189"/>
      <c r="BR102" s="189"/>
      <c r="BS102" s="194"/>
      <c r="BT102" s="281"/>
      <c r="BU102" s="279"/>
      <c r="BV102" s="279"/>
      <c r="BW102" s="189"/>
      <c r="BX102" s="189"/>
      <c r="BY102" s="189"/>
      <c r="BZ102" s="189"/>
      <c r="CA102" s="194"/>
      <c r="CB102" s="281"/>
      <c r="CC102" s="279"/>
      <c r="CD102" s="279"/>
      <c r="CE102" s="189"/>
      <c r="CF102" s="189"/>
      <c r="CG102" s="189"/>
      <c r="CH102" s="189"/>
      <c r="CI102" s="194"/>
      <c r="CJ102" s="281"/>
      <c r="CK102" s="279"/>
      <c r="CL102" s="279"/>
      <c r="CM102" s="189"/>
      <c r="CN102" s="189"/>
      <c r="CO102" s="189"/>
      <c r="CP102" s="189"/>
      <c r="CQ102" s="194"/>
      <c r="CR102" s="281"/>
      <c r="CS102" s="279"/>
      <c r="CT102" s="279"/>
      <c r="CU102" s="189"/>
      <c r="CV102" s="189"/>
      <c r="CW102" s="189"/>
      <c r="CX102" s="189"/>
      <c r="CY102" s="194"/>
      <c r="CZ102" s="281"/>
      <c r="DA102" s="279"/>
      <c r="DB102" s="279"/>
      <c r="DC102" s="189"/>
      <c r="DD102" s="189"/>
      <c r="DE102" s="189"/>
      <c r="DF102" s="189"/>
      <c r="DG102" s="194"/>
      <c r="DH102" s="281"/>
      <c r="DI102" s="279"/>
      <c r="DJ102" s="279"/>
      <c r="DK102" s="189"/>
      <c r="DL102" s="189"/>
      <c r="DM102" s="189"/>
      <c r="DN102" s="189"/>
      <c r="DO102" s="194"/>
      <c r="DP102" s="281"/>
      <c r="DQ102" s="279"/>
      <c r="DR102" s="279"/>
      <c r="DS102" s="189"/>
      <c r="DT102" s="189"/>
      <c r="DU102" s="189"/>
      <c r="DV102" s="189"/>
      <c r="DW102" s="194"/>
      <c r="DX102" s="281"/>
      <c r="DY102" s="279"/>
      <c r="DZ102" s="279"/>
      <c r="EA102" s="189"/>
      <c r="EB102" s="189"/>
      <c r="EC102" s="189"/>
      <c r="ED102" s="189"/>
      <c r="EE102" s="194"/>
      <c r="EF102" s="281"/>
      <c r="EG102" s="279"/>
      <c r="EH102" s="279"/>
      <c r="EI102" s="189"/>
      <c r="EJ102" s="189"/>
      <c r="EK102" s="189"/>
      <c r="EL102" s="189"/>
      <c r="EM102" s="194"/>
      <c r="EN102" s="281"/>
      <c r="EO102" s="279"/>
      <c r="EP102" s="279"/>
      <c r="EQ102" s="189"/>
      <c r="ER102" s="189"/>
      <c r="ES102" s="189"/>
      <c r="ET102" s="189"/>
      <c r="EU102" s="194"/>
      <c r="EV102" s="281"/>
      <c r="EW102" s="279"/>
      <c r="EX102" s="279"/>
      <c r="EY102" s="189"/>
      <c r="EZ102" s="189"/>
      <c r="FA102" s="189"/>
      <c r="FB102" s="189"/>
      <c r="FC102" s="194"/>
      <c r="FD102" s="281"/>
      <c r="FE102" s="279"/>
      <c r="FF102" s="279"/>
      <c r="FG102" s="189"/>
      <c r="FH102" s="189"/>
      <c r="FI102" s="189"/>
      <c r="FJ102" s="189"/>
      <c r="FK102" s="194"/>
      <c r="FL102" s="281"/>
      <c r="FM102" s="279"/>
      <c r="FN102" s="279"/>
      <c r="FO102" s="189"/>
      <c r="FP102" s="189"/>
      <c r="FQ102" s="189"/>
      <c r="FR102" s="189"/>
      <c r="FS102" s="194"/>
      <c r="FT102" s="281"/>
      <c r="FU102" s="279"/>
      <c r="FV102" s="279"/>
      <c r="FW102" s="189"/>
      <c r="FX102" s="189"/>
      <c r="FY102" s="189"/>
      <c r="FZ102" s="189"/>
      <c r="GA102" s="194"/>
      <c r="GB102" s="281"/>
      <c r="GC102" s="279"/>
      <c r="GD102" s="279"/>
      <c r="GE102" s="189"/>
      <c r="GF102" s="189"/>
      <c r="GG102" s="189"/>
      <c r="GH102" s="189"/>
      <c r="GI102" s="194"/>
      <c r="GJ102" s="281"/>
      <c r="GK102" s="279"/>
      <c r="GL102" s="279"/>
      <c r="GM102" s="189"/>
      <c r="GN102" s="189"/>
      <c r="GO102" s="189"/>
      <c r="GP102" s="189"/>
      <c r="GQ102" s="194"/>
      <c r="GR102" s="281"/>
      <c r="GS102" s="279"/>
      <c r="GT102" s="279"/>
      <c r="GU102" s="189"/>
      <c r="GV102" s="189"/>
      <c r="GW102" s="189"/>
      <c r="GX102" s="189"/>
      <c r="GY102" s="194"/>
      <c r="GZ102" s="281"/>
      <c r="HA102" s="279"/>
      <c r="HB102" s="279"/>
      <c r="HC102" s="189"/>
      <c r="HD102" s="189"/>
      <c r="HE102" s="189"/>
      <c r="HF102" s="189"/>
      <c r="HG102" s="194"/>
      <c r="HH102" s="281"/>
      <c r="HI102" s="279"/>
      <c r="HJ102" s="279"/>
      <c r="HK102" s="189"/>
      <c r="HL102" s="189"/>
      <c r="HM102" s="189"/>
      <c r="HN102" s="189"/>
      <c r="HO102" s="194"/>
      <c r="HP102" s="281"/>
      <c r="HQ102" s="279"/>
      <c r="HR102" s="279"/>
      <c r="HS102" s="189"/>
      <c r="HT102" s="189"/>
      <c r="HU102" s="189"/>
      <c r="HV102" s="189"/>
      <c r="HW102" s="194"/>
      <c r="HX102" s="281"/>
      <c r="HY102" s="279"/>
      <c r="HZ102" s="279"/>
      <c r="IA102" s="189"/>
      <c r="IB102" s="189"/>
      <c r="IC102" s="189"/>
      <c r="ID102" s="189"/>
      <c r="IE102" s="194"/>
      <c r="IF102" s="281"/>
      <c r="IG102" s="279"/>
      <c r="IH102" s="279"/>
      <c r="II102" s="189"/>
      <c r="IJ102" s="189"/>
      <c r="IK102" s="189"/>
      <c r="IL102" s="189"/>
    </row>
    <row r="103" spans="1:246" s="188" customFormat="1" ht="12.75">
      <c r="A103" s="227"/>
      <c r="B103" s="266" t="s">
        <v>459</v>
      </c>
      <c r="C103" s="290" t="s">
        <v>476</v>
      </c>
      <c r="D103" s="210">
        <v>80</v>
      </c>
      <c r="E103" s="247">
        <v>1</v>
      </c>
      <c r="F103" s="247">
        <v>1</v>
      </c>
      <c r="G103" s="210">
        <v>80</v>
      </c>
      <c r="H103" s="362">
        <f t="shared" si="6"/>
        <v>1874.5083890284545</v>
      </c>
      <c r="I103" s="227"/>
      <c r="J103" s="266" t="s">
        <v>483</v>
      </c>
      <c r="K103" s="290" t="s">
        <v>476</v>
      </c>
      <c r="L103" s="289">
        <v>64</v>
      </c>
      <c r="M103" s="247">
        <v>1</v>
      </c>
      <c r="N103" s="247">
        <v>1</v>
      </c>
      <c r="O103" s="289">
        <v>64</v>
      </c>
      <c r="P103" s="291">
        <f t="shared" si="7"/>
        <v>1289.0656661177404</v>
      </c>
      <c r="Q103" s="279"/>
      <c r="R103" s="279"/>
      <c r="S103" s="189"/>
      <c r="T103" s="189"/>
      <c r="U103" s="189"/>
      <c r="V103" s="189"/>
      <c r="W103" s="194"/>
      <c r="X103" s="281"/>
      <c r="Y103" s="279"/>
      <c r="Z103" s="279"/>
      <c r="AA103" s="189"/>
      <c r="AB103" s="189"/>
      <c r="AC103" s="189"/>
      <c r="AD103" s="189"/>
      <c r="AE103" s="194"/>
      <c r="AF103" s="281"/>
      <c r="AG103" s="279"/>
      <c r="AH103" s="279"/>
      <c r="AI103" s="189"/>
      <c r="AJ103" s="189"/>
      <c r="AK103" s="189"/>
      <c r="AL103" s="189"/>
      <c r="AM103" s="194"/>
      <c r="AN103" s="281"/>
      <c r="AO103" s="279"/>
      <c r="AP103" s="279"/>
      <c r="AQ103" s="189"/>
      <c r="AR103" s="189"/>
      <c r="AS103" s="189"/>
      <c r="AT103" s="189"/>
      <c r="AU103" s="194"/>
      <c r="AV103" s="281"/>
      <c r="AW103" s="279"/>
      <c r="AX103" s="279"/>
      <c r="AY103" s="189"/>
      <c r="AZ103" s="189"/>
      <c r="BA103" s="189"/>
      <c r="BB103" s="189"/>
      <c r="BC103" s="194"/>
      <c r="BD103" s="281"/>
      <c r="BE103" s="279"/>
      <c r="BF103" s="279"/>
      <c r="BG103" s="189"/>
      <c r="BH103" s="189"/>
      <c r="BI103" s="189"/>
      <c r="BJ103" s="189"/>
      <c r="BK103" s="194"/>
      <c r="BL103" s="281"/>
      <c r="BM103" s="279"/>
      <c r="BN103" s="279"/>
      <c r="BO103" s="189"/>
      <c r="BP103" s="189"/>
      <c r="BQ103" s="189"/>
      <c r="BR103" s="189"/>
      <c r="BS103" s="194"/>
      <c r="BT103" s="281"/>
      <c r="BU103" s="279"/>
      <c r="BV103" s="279"/>
      <c r="BW103" s="189"/>
      <c r="BX103" s="189"/>
      <c r="BY103" s="189"/>
      <c r="BZ103" s="189"/>
      <c r="CA103" s="194"/>
      <c r="CB103" s="281"/>
      <c r="CC103" s="279"/>
      <c r="CD103" s="279"/>
      <c r="CE103" s="189"/>
      <c r="CF103" s="189"/>
      <c r="CG103" s="189"/>
      <c r="CH103" s="189"/>
      <c r="CI103" s="194"/>
      <c r="CJ103" s="281"/>
      <c r="CK103" s="279"/>
      <c r="CL103" s="279"/>
      <c r="CM103" s="189"/>
      <c r="CN103" s="189"/>
      <c r="CO103" s="189"/>
      <c r="CP103" s="189"/>
      <c r="CQ103" s="194"/>
      <c r="CR103" s="281"/>
      <c r="CS103" s="279"/>
      <c r="CT103" s="279"/>
      <c r="CU103" s="189"/>
      <c r="CV103" s="189"/>
      <c r="CW103" s="189"/>
      <c r="CX103" s="189"/>
      <c r="CY103" s="194"/>
      <c r="CZ103" s="281"/>
      <c r="DA103" s="279"/>
      <c r="DB103" s="279"/>
      <c r="DC103" s="189"/>
      <c r="DD103" s="189"/>
      <c r="DE103" s="189"/>
      <c r="DF103" s="189"/>
      <c r="DG103" s="194"/>
      <c r="DH103" s="281"/>
      <c r="DI103" s="279"/>
      <c r="DJ103" s="279"/>
      <c r="DK103" s="189"/>
      <c r="DL103" s="189"/>
      <c r="DM103" s="189"/>
      <c r="DN103" s="189"/>
      <c r="DO103" s="194"/>
      <c r="DP103" s="281"/>
      <c r="DQ103" s="279"/>
      <c r="DR103" s="279"/>
      <c r="DS103" s="189"/>
      <c r="DT103" s="189"/>
      <c r="DU103" s="189"/>
      <c r="DV103" s="189"/>
      <c r="DW103" s="194"/>
      <c r="DX103" s="281"/>
      <c r="DY103" s="279"/>
      <c r="DZ103" s="279"/>
      <c r="EA103" s="189"/>
      <c r="EB103" s="189"/>
      <c r="EC103" s="189"/>
      <c r="ED103" s="189"/>
      <c r="EE103" s="194"/>
      <c r="EF103" s="281"/>
      <c r="EG103" s="279"/>
      <c r="EH103" s="279"/>
      <c r="EI103" s="189"/>
      <c r="EJ103" s="189"/>
      <c r="EK103" s="189"/>
      <c r="EL103" s="189"/>
      <c r="EM103" s="194"/>
      <c r="EN103" s="281"/>
      <c r="EO103" s="279"/>
      <c r="EP103" s="279"/>
      <c r="EQ103" s="189"/>
      <c r="ER103" s="189"/>
      <c r="ES103" s="189"/>
      <c r="ET103" s="189"/>
      <c r="EU103" s="194"/>
      <c r="EV103" s="281"/>
      <c r="EW103" s="279"/>
      <c r="EX103" s="279"/>
      <c r="EY103" s="189"/>
      <c r="EZ103" s="189"/>
      <c r="FA103" s="189"/>
      <c r="FB103" s="189"/>
      <c r="FC103" s="194"/>
      <c r="FD103" s="281"/>
      <c r="FE103" s="279"/>
      <c r="FF103" s="279"/>
      <c r="FG103" s="189"/>
      <c r="FH103" s="189"/>
      <c r="FI103" s="189"/>
      <c r="FJ103" s="189"/>
      <c r="FK103" s="194"/>
      <c r="FL103" s="281"/>
      <c r="FM103" s="279"/>
      <c r="FN103" s="279"/>
      <c r="FO103" s="189"/>
      <c r="FP103" s="189"/>
      <c r="FQ103" s="189"/>
      <c r="FR103" s="189"/>
      <c r="FS103" s="194"/>
      <c r="FT103" s="281"/>
      <c r="FU103" s="279"/>
      <c r="FV103" s="279"/>
      <c r="FW103" s="189"/>
      <c r="FX103" s="189"/>
      <c r="FY103" s="189"/>
      <c r="FZ103" s="189"/>
      <c r="GA103" s="194"/>
      <c r="GB103" s="281"/>
      <c r="GC103" s="279"/>
      <c r="GD103" s="279"/>
      <c r="GE103" s="189"/>
      <c r="GF103" s="189"/>
      <c r="GG103" s="189"/>
      <c r="GH103" s="189"/>
      <c r="GI103" s="194"/>
      <c r="GJ103" s="281"/>
      <c r="GK103" s="279"/>
      <c r="GL103" s="279"/>
      <c r="GM103" s="189"/>
      <c r="GN103" s="189"/>
      <c r="GO103" s="189"/>
      <c r="GP103" s="189"/>
      <c r="GQ103" s="194"/>
      <c r="GR103" s="281"/>
      <c r="GS103" s="279"/>
      <c r="GT103" s="279"/>
      <c r="GU103" s="189"/>
      <c r="GV103" s="189"/>
      <c r="GW103" s="189"/>
      <c r="GX103" s="189"/>
      <c r="GY103" s="194"/>
      <c r="GZ103" s="281"/>
      <c r="HA103" s="279"/>
      <c r="HB103" s="279"/>
      <c r="HC103" s="189"/>
      <c r="HD103" s="189"/>
      <c r="HE103" s="189"/>
      <c r="HF103" s="189"/>
      <c r="HG103" s="194"/>
      <c r="HH103" s="281"/>
      <c r="HI103" s="279"/>
      <c r="HJ103" s="279"/>
      <c r="HK103" s="189"/>
      <c r="HL103" s="189"/>
      <c r="HM103" s="189"/>
      <c r="HN103" s="189"/>
      <c r="HO103" s="194"/>
      <c r="HP103" s="281"/>
      <c r="HQ103" s="279"/>
      <c r="HR103" s="279"/>
      <c r="HS103" s="189"/>
      <c r="HT103" s="189"/>
      <c r="HU103" s="189"/>
      <c r="HV103" s="189"/>
      <c r="HW103" s="194"/>
      <c r="HX103" s="281"/>
      <c r="HY103" s="279"/>
      <c r="HZ103" s="279"/>
      <c r="IA103" s="189"/>
      <c r="IB103" s="189"/>
      <c r="IC103" s="189"/>
      <c r="ID103" s="189"/>
      <c r="IE103" s="194"/>
      <c r="IF103" s="281"/>
      <c r="IG103" s="279"/>
      <c r="IH103" s="279"/>
      <c r="II103" s="189"/>
      <c r="IJ103" s="189"/>
      <c r="IK103" s="189"/>
      <c r="IL103" s="189"/>
    </row>
    <row r="104" spans="1:246" s="188" customFormat="1" ht="12.75">
      <c r="A104" s="227"/>
      <c r="B104" s="266" t="s">
        <v>572</v>
      </c>
      <c r="C104" s="290" t="s">
        <v>476</v>
      </c>
      <c r="D104" s="210">
        <v>70</v>
      </c>
      <c r="E104" s="247"/>
      <c r="F104" s="247"/>
      <c r="G104" s="210">
        <v>70</v>
      </c>
      <c r="H104" s="362">
        <f t="shared" si="6"/>
        <v>1640.1948403998977</v>
      </c>
      <c r="I104" s="227"/>
      <c r="J104" s="47" t="s">
        <v>413</v>
      </c>
      <c r="K104" s="290"/>
      <c r="L104" s="289"/>
      <c r="M104" s="247"/>
      <c r="N104" s="247"/>
      <c r="O104" s="289">
        <f>SUM(O91:O103)</f>
        <v>3357</v>
      </c>
      <c r="P104" s="207">
        <f>SUM(P91:P103)</f>
        <v>67615.5225180821</v>
      </c>
      <c r="Q104" s="279"/>
      <c r="R104" s="279"/>
      <c r="S104" s="189"/>
      <c r="T104" s="189"/>
      <c r="U104" s="189"/>
      <c r="V104" s="189"/>
      <c r="W104" s="194"/>
      <c r="X104" s="281"/>
      <c r="Y104" s="279"/>
      <c r="Z104" s="279"/>
      <c r="AA104" s="189"/>
      <c r="AB104" s="189"/>
      <c r="AC104" s="189"/>
      <c r="AD104" s="189"/>
      <c r="AE104" s="194"/>
      <c r="AF104" s="281"/>
      <c r="AG104" s="279"/>
      <c r="AH104" s="279"/>
      <c r="AI104" s="189"/>
      <c r="AJ104" s="189"/>
      <c r="AK104" s="189"/>
      <c r="AL104" s="189"/>
      <c r="AM104" s="194"/>
      <c r="AN104" s="281"/>
      <c r="AO104" s="279"/>
      <c r="AP104" s="279"/>
      <c r="AQ104" s="189"/>
      <c r="AR104" s="189"/>
      <c r="AS104" s="189"/>
      <c r="AT104" s="189"/>
      <c r="AU104" s="194"/>
      <c r="AV104" s="281"/>
      <c r="AW104" s="279"/>
      <c r="AX104" s="279"/>
      <c r="AY104" s="189"/>
      <c r="AZ104" s="189"/>
      <c r="BA104" s="189"/>
      <c r="BB104" s="189"/>
      <c r="BC104" s="194"/>
      <c r="BD104" s="281"/>
      <c r="BE104" s="279"/>
      <c r="BF104" s="279"/>
      <c r="BG104" s="189"/>
      <c r="BH104" s="189"/>
      <c r="BI104" s="189"/>
      <c r="BJ104" s="189"/>
      <c r="BK104" s="194"/>
      <c r="BL104" s="281"/>
      <c r="BM104" s="279"/>
      <c r="BN104" s="279"/>
      <c r="BO104" s="189"/>
      <c r="BP104" s="189"/>
      <c r="BQ104" s="189"/>
      <c r="BR104" s="189"/>
      <c r="BS104" s="194"/>
      <c r="BT104" s="281"/>
      <c r="BU104" s="279"/>
      <c r="BV104" s="279"/>
      <c r="BW104" s="189"/>
      <c r="BX104" s="189"/>
      <c r="BY104" s="189"/>
      <c r="BZ104" s="189"/>
      <c r="CA104" s="194"/>
      <c r="CB104" s="281"/>
      <c r="CC104" s="279"/>
      <c r="CD104" s="279"/>
      <c r="CE104" s="189"/>
      <c r="CF104" s="189"/>
      <c r="CG104" s="189"/>
      <c r="CH104" s="189"/>
      <c r="CI104" s="194"/>
      <c r="CJ104" s="281"/>
      <c r="CK104" s="279"/>
      <c r="CL104" s="279"/>
      <c r="CM104" s="189"/>
      <c r="CN104" s="189"/>
      <c r="CO104" s="189"/>
      <c r="CP104" s="189"/>
      <c r="CQ104" s="194"/>
      <c r="CR104" s="281"/>
      <c r="CS104" s="279"/>
      <c r="CT104" s="279"/>
      <c r="CU104" s="189"/>
      <c r="CV104" s="189"/>
      <c r="CW104" s="189"/>
      <c r="CX104" s="189"/>
      <c r="CY104" s="194"/>
      <c r="CZ104" s="281"/>
      <c r="DA104" s="279"/>
      <c r="DB104" s="279"/>
      <c r="DC104" s="189"/>
      <c r="DD104" s="189"/>
      <c r="DE104" s="189"/>
      <c r="DF104" s="189"/>
      <c r="DG104" s="194"/>
      <c r="DH104" s="281"/>
      <c r="DI104" s="279"/>
      <c r="DJ104" s="279"/>
      <c r="DK104" s="189"/>
      <c r="DL104" s="189"/>
      <c r="DM104" s="189"/>
      <c r="DN104" s="189"/>
      <c r="DO104" s="194"/>
      <c r="DP104" s="281"/>
      <c r="DQ104" s="279"/>
      <c r="DR104" s="279"/>
      <c r="DS104" s="189"/>
      <c r="DT104" s="189"/>
      <c r="DU104" s="189"/>
      <c r="DV104" s="189"/>
      <c r="DW104" s="194"/>
      <c r="DX104" s="281"/>
      <c r="DY104" s="279"/>
      <c r="DZ104" s="279"/>
      <c r="EA104" s="189"/>
      <c r="EB104" s="189"/>
      <c r="EC104" s="189"/>
      <c r="ED104" s="189"/>
      <c r="EE104" s="194"/>
      <c r="EF104" s="281"/>
      <c r="EG104" s="279"/>
      <c r="EH104" s="279"/>
      <c r="EI104" s="189"/>
      <c r="EJ104" s="189"/>
      <c r="EK104" s="189"/>
      <c r="EL104" s="189"/>
      <c r="EM104" s="194"/>
      <c r="EN104" s="281"/>
      <c r="EO104" s="279"/>
      <c r="EP104" s="279"/>
      <c r="EQ104" s="189"/>
      <c r="ER104" s="189"/>
      <c r="ES104" s="189"/>
      <c r="ET104" s="189"/>
      <c r="EU104" s="194"/>
      <c r="EV104" s="281"/>
      <c r="EW104" s="279"/>
      <c r="EX104" s="279"/>
      <c r="EY104" s="189"/>
      <c r="EZ104" s="189"/>
      <c r="FA104" s="189"/>
      <c r="FB104" s="189"/>
      <c r="FC104" s="194"/>
      <c r="FD104" s="281"/>
      <c r="FE104" s="279"/>
      <c r="FF104" s="279"/>
      <c r="FG104" s="189"/>
      <c r="FH104" s="189"/>
      <c r="FI104" s="189"/>
      <c r="FJ104" s="189"/>
      <c r="FK104" s="194"/>
      <c r="FL104" s="281"/>
      <c r="FM104" s="279"/>
      <c r="FN104" s="279"/>
      <c r="FO104" s="189"/>
      <c r="FP104" s="189"/>
      <c r="FQ104" s="189"/>
      <c r="FR104" s="189"/>
      <c r="FS104" s="194"/>
      <c r="FT104" s="281"/>
      <c r="FU104" s="279"/>
      <c r="FV104" s="279"/>
      <c r="FW104" s="189"/>
      <c r="FX104" s="189"/>
      <c r="FY104" s="189"/>
      <c r="FZ104" s="189"/>
      <c r="GA104" s="194"/>
      <c r="GB104" s="281"/>
      <c r="GC104" s="279"/>
      <c r="GD104" s="279"/>
      <c r="GE104" s="189"/>
      <c r="GF104" s="189"/>
      <c r="GG104" s="189"/>
      <c r="GH104" s="189"/>
      <c r="GI104" s="194"/>
      <c r="GJ104" s="281"/>
      <c r="GK104" s="279"/>
      <c r="GL104" s="279"/>
      <c r="GM104" s="189"/>
      <c r="GN104" s="189"/>
      <c r="GO104" s="189"/>
      <c r="GP104" s="189"/>
      <c r="GQ104" s="194"/>
      <c r="GR104" s="281"/>
      <c r="GS104" s="279"/>
      <c r="GT104" s="279"/>
      <c r="GU104" s="189"/>
      <c r="GV104" s="189"/>
      <c r="GW104" s="189"/>
      <c r="GX104" s="189"/>
      <c r="GY104" s="194"/>
      <c r="GZ104" s="281"/>
      <c r="HA104" s="279"/>
      <c r="HB104" s="279"/>
      <c r="HC104" s="189"/>
      <c r="HD104" s="189"/>
      <c r="HE104" s="189"/>
      <c r="HF104" s="189"/>
      <c r="HG104" s="194"/>
      <c r="HH104" s="281"/>
      <c r="HI104" s="279"/>
      <c r="HJ104" s="279"/>
      <c r="HK104" s="189"/>
      <c r="HL104" s="189"/>
      <c r="HM104" s="189"/>
      <c r="HN104" s="189"/>
      <c r="HO104" s="194"/>
      <c r="HP104" s="281"/>
      <c r="HQ104" s="279"/>
      <c r="HR104" s="279"/>
      <c r="HS104" s="189"/>
      <c r="HT104" s="189"/>
      <c r="HU104" s="189"/>
      <c r="HV104" s="189"/>
      <c r="HW104" s="194"/>
      <c r="HX104" s="281"/>
      <c r="HY104" s="279"/>
      <c r="HZ104" s="279"/>
      <c r="IA104" s="189"/>
      <c r="IB104" s="189"/>
      <c r="IC104" s="189"/>
      <c r="ID104" s="189"/>
      <c r="IE104" s="194"/>
      <c r="IF104" s="281"/>
      <c r="IG104" s="279"/>
      <c r="IH104" s="279"/>
      <c r="II104" s="189"/>
      <c r="IJ104" s="189"/>
      <c r="IK104" s="189"/>
      <c r="IL104" s="189"/>
    </row>
    <row r="105" spans="1:246" s="188" customFormat="1" ht="12.75">
      <c r="A105" s="227"/>
      <c r="B105" s="266" t="s">
        <v>571</v>
      </c>
      <c r="C105" s="290" t="s">
        <v>476</v>
      </c>
      <c r="D105" s="319">
        <f>32+180</f>
        <v>212</v>
      </c>
      <c r="E105" s="247">
        <v>1</v>
      </c>
      <c r="F105" s="247">
        <v>1</v>
      </c>
      <c r="G105" s="319">
        <f>32+180</f>
        <v>212</v>
      </c>
      <c r="H105" s="362">
        <f t="shared" si="6"/>
        <v>4967.447230925404</v>
      </c>
      <c r="I105" s="227"/>
      <c r="J105" s="379" t="s">
        <v>523</v>
      </c>
      <c r="K105" s="385"/>
      <c r="L105" s="386"/>
      <c r="M105" s="382"/>
      <c r="N105" s="382"/>
      <c r="O105" s="381">
        <f>O80+O89+O104</f>
        <v>39258.450119999994</v>
      </c>
      <c r="P105" s="387">
        <f>P80+P89+P104</f>
        <v>790730.0024169981</v>
      </c>
      <c r="Q105" s="279"/>
      <c r="R105" s="279"/>
      <c r="S105" s="189"/>
      <c r="T105" s="189"/>
      <c r="U105" s="189"/>
      <c r="V105" s="189"/>
      <c r="W105" s="194"/>
      <c r="X105" s="281"/>
      <c r="Y105" s="279"/>
      <c r="Z105" s="279"/>
      <c r="AA105" s="189"/>
      <c r="AB105" s="189"/>
      <c r="AC105" s="189"/>
      <c r="AD105" s="189"/>
      <c r="AE105" s="194"/>
      <c r="AF105" s="281"/>
      <c r="AG105" s="279"/>
      <c r="AH105" s="279"/>
      <c r="AI105" s="189"/>
      <c r="AJ105" s="189"/>
      <c r="AK105" s="189"/>
      <c r="AL105" s="189"/>
      <c r="AM105" s="194"/>
      <c r="AN105" s="281"/>
      <c r="AO105" s="279"/>
      <c r="AP105" s="279"/>
      <c r="AQ105" s="189"/>
      <c r="AR105" s="189"/>
      <c r="AS105" s="189"/>
      <c r="AT105" s="189"/>
      <c r="AU105" s="194"/>
      <c r="AV105" s="281"/>
      <c r="AW105" s="279"/>
      <c r="AX105" s="279"/>
      <c r="AY105" s="189"/>
      <c r="AZ105" s="189"/>
      <c r="BA105" s="189"/>
      <c r="BB105" s="189"/>
      <c r="BC105" s="194"/>
      <c r="BD105" s="281"/>
      <c r="BE105" s="279"/>
      <c r="BF105" s="279"/>
      <c r="BG105" s="189"/>
      <c r="BH105" s="189"/>
      <c r="BI105" s="189"/>
      <c r="BJ105" s="189"/>
      <c r="BK105" s="194"/>
      <c r="BL105" s="281"/>
      <c r="BM105" s="279"/>
      <c r="BN105" s="279"/>
      <c r="BO105" s="189"/>
      <c r="BP105" s="189"/>
      <c r="BQ105" s="189"/>
      <c r="BR105" s="189"/>
      <c r="BS105" s="194"/>
      <c r="BT105" s="281"/>
      <c r="BU105" s="279"/>
      <c r="BV105" s="279"/>
      <c r="BW105" s="189"/>
      <c r="BX105" s="189"/>
      <c r="BY105" s="189"/>
      <c r="BZ105" s="189"/>
      <c r="CA105" s="194"/>
      <c r="CB105" s="281"/>
      <c r="CC105" s="279"/>
      <c r="CD105" s="279"/>
      <c r="CE105" s="189"/>
      <c r="CF105" s="189"/>
      <c r="CG105" s="189"/>
      <c r="CH105" s="189"/>
      <c r="CI105" s="194"/>
      <c r="CJ105" s="281"/>
      <c r="CK105" s="279"/>
      <c r="CL105" s="279"/>
      <c r="CM105" s="189"/>
      <c r="CN105" s="189"/>
      <c r="CO105" s="189"/>
      <c r="CP105" s="189"/>
      <c r="CQ105" s="194"/>
      <c r="CR105" s="281"/>
      <c r="CS105" s="279"/>
      <c r="CT105" s="279"/>
      <c r="CU105" s="189"/>
      <c r="CV105" s="189"/>
      <c r="CW105" s="189"/>
      <c r="CX105" s="189"/>
      <c r="CY105" s="194"/>
      <c r="CZ105" s="281"/>
      <c r="DA105" s="279"/>
      <c r="DB105" s="279"/>
      <c r="DC105" s="189"/>
      <c r="DD105" s="189"/>
      <c r="DE105" s="189"/>
      <c r="DF105" s="189"/>
      <c r="DG105" s="194"/>
      <c r="DH105" s="281"/>
      <c r="DI105" s="279"/>
      <c r="DJ105" s="279"/>
      <c r="DK105" s="189"/>
      <c r="DL105" s="189"/>
      <c r="DM105" s="189"/>
      <c r="DN105" s="189"/>
      <c r="DO105" s="194"/>
      <c r="DP105" s="281"/>
      <c r="DQ105" s="279"/>
      <c r="DR105" s="279"/>
      <c r="DS105" s="189"/>
      <c r="DT105" s="189"/>
      <c r="DU105" s="189"/>
      <c r="DV105" s="189"/>
      <c r="DW105" s="194"/>
      <c r="DX105" s="281"/>
      <c r="DY105" s="279"/>
      <c r="DZ105" s="279"/>
      <c r="EA105" s="189"/>
      <c r="EB105" s="189"/>
      <c r="EC105" s="189"/>
      <c r="ED105" s="189"/>
      <c r="EE105" s="194"/>
      <c r="EF105" s="281"/>
      <c r="EG105" s="279"/>
      <c r="EH105" s="279"/>
      <c r="EI105" s="189"/>
      <c r="EJ105" s="189"/>
      <c r="EK105" s="189"/>
      <c r="EL105" s="189"/>
      <c r="EM105" s="194"/>
      <c r="EN105" s="281"/>
      <c r="EO105" s="279"/>
      <c r="EP105" s="279"/>
      <c r="EQ105" s="189"/>
      <c r="ER105" s="189"/>
      <c r="ES105" s="189"/>
      <c r="ET105" s="189"/>
      <c r="EU105" s="194"/>
      <c r="EV105" s="281"/>
      <c r="EW105" s="279"/>
      <c r="EX105" s="279"/>
      <c r="EY105" s="189"/>
      <c r="EZ105" s="189"/>
      <c r="FA105" s="189"/>
      <c r="FB105" s="189"/>
      <c r="FC105" s="194"/>
      <c r="FD105" s="281"/>
      <c r="FE105" s="279"/>
      <c r="FF105" s="279"/>
      <c r="FG105" s="189"/>
      <c r="FH105" s="189"/>
      <c r="FI105" s="189"/>
      <c r="FJ105" s="189"/>
      <c r="FK105" s="194"/>
      <c r="FL105" s="281"/>
      <c r="FM105" s="279"/>
      <c r="FN105" s="279"/>
      <c r="FO105" s="189"/>
      <c r="FP105" s="189"/>
      <c r="FQ105" s="189"/>
      <c r="FR105" s="189"/>
      <c r="FS105" s="194"/>
      <c r="FT105" s="281"/>
      <c r="FU105" s="279"/>
      <c r="FV105" s="279"/>
      <c r="FW105" s="189"/>
      <c r="FX105" s="189"/>
      <c r="FY105" s="189"/>
      <c r="FZ105" s="189"/>
      <c r="GA105" s="194"/>
      <c r="GB105" s="281"/>
      <c r="GC105" s="279"/>
      <c r="GD105" s="279"/>
      <c r="GE105" s="189"/>
      <c r="GF105" s="189"/>
      <c r="GG105" s="189"/>
      <c r="GH105" s="189"/>
      <c r="GI105" s="194"/>
      <c r="GJ105" s="281"/>
      <c r="GK105" s="279"/>
      <c r="GL105" s="279"/>
      <c r="GM105" s="189"/>
      <c r="GN105" s="189"/>
      <c r="GO105" s="189"/>
      <c r="GP105" s="189"/>
      <c r="GQ105" s="194"/>
      <c r="GR105" s="281"/>
      <c r="GS105" s="279"/>
      <c r="GT105" s="279"/>
      <c r="GU105" s="189"/>
      <c r="GV105" s="189"/>
      <c r="GW105" s="189"/>
      <c r="GX105" s="189"/>
      <c r="GY105" s="194"/>
      <c r="GZ105" s="281"/>
      <c r="HA105" s="279"/>
      <c r="HB105" s="279"/>
      <c r="HC105" s="189"/>
      <c r="HD105" s="189"/>
      <c r="HE105" s="189"/>
      <c r="HF105" s="189"/>
      <c r="HG105" s="194"/>
      <c r="HH105" s="281"/>
      <c r="HI105" s="279"/>
      <c r="HJ105" s="279"/>
      <c r="HK105" s="189"/>
      <c r="HL105" s="189"/>
      <c r="HM105" s="189"/>
      <c r="HN105" s="189"/>
      <c r="HO105" s="194"/>
      <c r="HP105" s="281"/>
      <c r="HQ105" s="279"/>
      <c r="HR105" s="279"/>
      <c r="HS105" s="189"/>
      <c r="HT105" s="189"/>
      <c r="HU105" s="189"/>
      <c r="HV105" s="189"/>
      <c r="HW105" s="194"/>
      <c r="HX105" s="281"/>
      <c r="HY105" s="279"/>
      <c r="HZ105" s="279"/>
      <c r="IA105" s="189"/>
      <c r="IB105" s="189"/>
      <c r="IC105" s="189"/>
      <c r="ID105" s="189"/>
      <c r="IE105" s="194"/>
      <c r="IF105" s="281"/>
      <c r="IG105" s="279"/>
      <c r="IH105" s="279"/>
      <c r="II105" s="189"/>
      <c r="IJ105" s="189"/>
      <c r="IK105" s="189"/>
      <c r="IL105" s="189"/>
    </row>
    <row r="106" spans="1:246" s="188" customFormat="1" ht="13.5" customHeight="1">
      <c r="A106" s="227"/>
      <c r="B106" s="47" t="s">
        <v>413</v>
      </c>
      <c r="C106" s="290"/>
      <c r="D106" s="289"/>
      <c r="E106" s="247"/>
      <c r="F106" s="247"/>
      <c r="G106" s="289">
        <f>SUM(G91:G105)</f>
        <v>3555</v>
      </c>
      <c r="H106" s="364">
        <f>SUM(H91:H105)</f>
        <v>83298.46653745195</v>
      </c>
      <c r="I106" s="227">
        <v>23</v>
      </c>
      <c r="J106" s="47" t="s">
        <v>241</v>
      </c>
      <c r="K106" s="212"/>
      <c r="L106" s="212"/>
      <c r="M106" s="215"/>
      <c r="N106" s="215"/>
      <c r="O106" s="287">
        <f>O107+O108+O109+O110+O111+O112+O113+O114+O115</f>
        <v>239</v>
      </c>
      <c r="P106" s="286">
        <f>P107+P108+P109+P110+P111+P112+P113+P114+P115</f>
        <v>6426</v>
      </c>
      <c r="Q106" s="279"/>
      <c r="R106" s="279"/>
      <c r="S106" s="189"/>
      <c r="T106" s="189"/>
      <c r="U106" s="189"/>
      <c r="V106" s="189"/>
      <c r="W106" s="194"/>
      <c r="X106" s="281"/>
      <c r="Y106" s="279"/>
      <c r="Z106" s="279"/>
      <c r="AA106" s="189"/>
      <c r="AB106" s="189"/>
      <c r="AC106" s="189"/>
      <c r="AD106" s="189"/>
      <c r="AE106" s="194"/>
      <c r="AF106" s="281"/>
      <c r="AG106" s="279"/>
      <c r="AH106" s="279"/>
      <c r="AI106" s="189"/>
      <c r="AJ106" s="189"/>
      <c r="AK106" s="189"/>
      <c r="AL106" s="189"/>
      <c r="AM106" s="194"/>
      <c r="AN106" s="281"/>
      <c r="AO106" s="279"/>
      <c r="AP106" s="279"/>
      <c r="AQ106" s="189"/>
      <c r="AR106" s="189"/>
      <c r="AS106" s="189"/>
      <c r="AT106" s="189"/>
      <c r="AU106" s="194"/>
      <c r="AV106" s="281"/>
      <c r="AW106" s="279"/>
      <c r="AX106" s="279"/>
      <c r="AY106" s="189"/>
      <c r="AZ106" s="189"/>
      <c r="BA106" s="189"/>
      <c r="BB106" s="189"/>
      <c r="BC106" s="194"/>
      <c r="BD106" s="281"/>
      <c r="BE106" s="279"/>
      <c r="BF106" s="279"/>
      <c r="BG106" s="189"/>
      <c r="BH106" s="189"/>
      <c r="BI106" s="189"/>
      <c r="BJ106" s="189"/>
      <c r="BK106" s="194"/>
      <c r="BL106" s="281"/>
      <c r="BM106" s="279"/>
      <c r="BN106" s="279"/>
      <c r="BO106" s="189"/>
      <c r="BP106" s="189"/>
      <c r="BQ106" s="189"/>
      <c r="BR106" s="189"/>
      <c r="BS106" s="194"/>
      <c r="BT106" s="281"/>
      <c r="BU106" s="279"/>
      <c r="BV106" s="279"/>
      <c r="BW106" s="189"/>
      <c r="BX106" s="189"/>
      <c r="BY106" s="189"/>
      <c r="BZ106" s="189"/>
      <c r="CA106" s="194"/>
      <c r="CB106" s="281"/>
      <c r="CC106" s="279"/>
      <c r="CD106" s="279"/>
      <c r="CE106" s="189"/>
      <c r="CF106" s="189"/>
      <c r="CG106" s="189"/>
      <c r="CH106" s="189"/>
      <c r="CI106" s="194"/>
      <c r="CJ106" s="281"/>
      <c r="CK106" s="279"/>
      <c r="CL106" s="279"/>
      <c r="CM106" s="189"/>
      <c r="CN106" s="189"/>
      <c r="CO106" s="189"/>
      <c r="CP106" s="189"/>
      <c r="CQ106" s="194"/>
      <c r="CR106" s="281"/>
      <c r="CS106" s="279"/>
      <c r="CT106" s="279"/>
      <c r="CU106" s="189"/>
      <c r="CV106" s="189"/>
      <c r="CW106" s="189"/>
      <c r="CX106" s="189"/>
      <c r="CY106" s="194"/>
      <c r="CZ106" s="281"/>
      <c r="DA106" s="279"/>
      <c r="DB106" s="279"/>
      <c r="DC106" s="189"/>
      <c r="DD106" s="189"/>
      <c r="DE106" s="189"/>
      <c r="DF106" s="189"/>
      <c r="DG106" s="194"/>
      <c r="DH106" s="281"/>
      <c r="DI106" s="279"/>
      <c r="DJ106" s="279"/>
      <c r="DK106" s="189"/>
      <c r="DL106" s="189"/>
      <c r="DM106" s="189"/>
      <c r="DN106" s="189"/>
      <c r="DO106" s="194"/>
      <c r="DP106" s="281"/>
      <c r="DQ106" s="279"/>
      <c r="DR106" s="279"/>
      <c r="DS106" s="189"/>
      <c r="DT106" s="189"/>
      <c r="DU106" s="189"/>
      <c r="DV106" s="189"/>
      <c r="DW106" s="194"/>
      <c r="DX106" s="281"/>
      <c r="DY106" s="279"/>
      <c r="DZ106" s="279"/>
      <c r="EA106" s="189"/>
      <c r="EB106" s="189"/>
      <c r="EC106" s="189"/>
      <c r="ED106" s="189"/>
      <c r="EE106" s="194"/>
      <c r="EF106" s="281"/>
      <c r="EG106" s="279"/>
      <c r="EH106" s="279"/>
      <c r="EI106" s="189"/>
      <c r="EJ106" s="189"/>
      <c r="EK106" s="189"/>
      <c r="EL106" s="189"/>
      <c r="EM106" s="194"/>
      <c r="EN106" s="281"/>
      <c r="EO106" s="279"/>
      <c r="EP106" s="279"/>
      <c r="EQ106" s="189"/>
      <c r="ER106" s="189"/>
      <c r="ES106" s="189"/>
      <c r="ET106" s="189"/>
      <c r="EU106" s="194"/>
      <c r="EV106" s="281"/>
      <c r="EW106" s="279"/>
      <c r="EX106" s="279"/>
      <c r="EY106" s="189"/>
      <c r="EZ106" s="189"/>
      <c r="FA106" s="189"/>
      <c r="FB106" s="189"/>
      <c r="FC106" s="194"/>
      <c r="FD106" s="281"/>
      <c r="FE106" s="279"/>
      <c r="FF106" s="279"/>
      <c r="FG106" s="189"/>
      <c r="FH106" s="189"/>
      <c r="FI106" s="189"/>
      <c r="FJ106" s="189"/>
      <c r="FK106" s="194"/>
      <c r="FL106" s="281"/>
      <c r="FM106" s="279"/>
      <c r="FN106" s="279"/>
      <c r="FO106" s="189"/>
      <c r="FP106" s="189"/>
      <c r="FQ106" s="189"/>
      <c r="FR106" s="189"/>
      <c r="FS106" s="194"/>
      <c r="FT106" s="281"/>
      <c r="FU106" s="279"/>
      <c r="FV106" s="279"/>
      <c r="FW106" s="189"/>
      <c r="FX106" s="189"/>
      <c r="FY106" s="189"/>
      <c r="FZ106" s="189"/>
      <c r="GA106" s="194"/>
      <c r="GB106" s="281"/>
      <c r="GC106" s="279"/>
      <c r="GD106" s="279"/>
      <c r="GE106" s="189"/>
      <c r="GF106" s="189"/>
      <c r="GG106" s="189"/>
      <c r="GH106" s="189"/>
      <c r="GI106" s="194"/>
      <c r="GJ106" s="281"/>
      <c r="GK106" s="279"/>
      <c r="GL106" s="279"/>
      <c r="GM106" s="189"/>
      <c r="GN106" s="189"/>
      <c r="GO106" s="189"/>
      <c r="GP106" s="189"/>
      <c r="GQ106" s="194"/>
      <c r="GR106" s="281"/>
      <c r="GS106" s="279"/>
      <c r="GT106" s="279"/>
      <c r="GU106" s="189"/>
      <c r="GV106" s="189"/>
      <c r="GW106" s="189"/>
      <c r="GX106" s="189"/>
      <c r="GY106" s="194"/>
      <c r="GZ106" s="281"/>
      <c r="HA106" s="279"/>
      <c r="HB106" s="279"/>
      <c r="HC106" s="189"/>
      <c r="HD106" s="189"/>
      <c r="HE106" s="189"/>
      <c r="HF106" s="189"/>
      <c r="HG106" s="194"/>
      <c r="HH106" s="281"/>
      <c r="HI106" s="279"/>
      <c r="HJ106" s="279"/>
      <c r="HK106" s="189"/>
      <c r="HL106" s="189"/>
      <c r="HM106" s="189"/>
      <c r="HN106" s="189"/>
      <c r="HO106" s="194"/>
      <c r="HP106" s="281"/>
      <c r="HQ106" s="279"/>
      <c r="HR106" s="279"/>
      <c r="HS106" s="189"/>
      <c r="HT106" s="189"/>
      <c r="HU106" s="189"/>
      <c r="HV106" s="189"/>
      <c r="HW106" s="194"/>
      <c r="HX106" s="281"/>
      <c r="HY106" s="279"/>
      <c r="HZ106" s="279"/>
      <c r="IA106" s="189"/>
      <c r="IB106" s="189"/>
      <c r="IC106" s="189"/>
      <c r="ID106" s="189"/>
      <c r="IE106" s="194"/>
      <c r="IF106" s="281"/>
      <c r="IG106" s="279"/>
      <c r="IH106" s="279"/>
      <c r="II106" s="189"/>
      <c r="IJ106" s="189"/>
      <c r="IK106" s="189"/>
      <c r="IL106" s="189"/>
    </row>
    <row r="107" spans="1:246" s="188" customFormat="1" ht="17.25" customHeight="1">
      <c r="A107" s="227"/>
      <c r="B107" s="379" t="s">
        <v>666</v>
      </c>
      <c r="C107" s="380"/>
      <c r="D107" s="381"/>
      <c r="E107" s="382"/>
      <c r="F107" s="382"/>
      <c r="G107" s="383">
        <f>G80+G89+G106</f>
        <v>33270.71751999999</v>
      </c>
      <c r="H107" s="384">
        <f>H80+H89+H106</f>
        <v>779577.9887529499</v>
      </c>
      <c r="I107" s="227"/>
      <c r="J107" s="51" t="s">
        <v>226</v>
      </c>
      <c r="K107" s="215" t="s">
        <v>73</v>
      </c>
      <c r="L107" s="215">
        <f>68.75</f>
        <v>68.75</v>
      </c>
      <c r="M107" s="215"/>
      <c r="N107" s="215"/>
      <c r="O107" s="260"/>
      <c r="P107" s="260"/>
      <c r="Q107" s="279"/>
      <c r="R107" s="279"/>
      <c r="S107" s="189"/>
      <c r="T107" s="189"/>
      <c r="U107" s="189"/>
      <c r="V107" s="189"/>
      <c r="W107" s="194"/>
      <c r="X107" s="281"/>
      <c r="Y107" s="279"/>
      <c r="Z107" s="279"/>
      <c r="AA107" s="189"/>
      <c r="AB107" s="189"/>
      <c r="AC107" s="189"/>
      <c r="AD107" s="189"/>
      <c r="AE107" s="194"/>
      <c r="AF107" s="281"/>
      <c r="AG107" s="279"/>
      <c r="AH107" s="279"/>
      <c r="AI107" s="189"/>
      <c r="AJ107" s="189"/>
      <c r="AK107" s="189"/>
      <c r="AL107" s="189"/>
      <c r="AM107" s="194"/>
      <c r="AN107" s="281"/>
      <c r="AO107" s="279"/>
      <c r="AP107" s="279"/>
      <c r="AQ107" s="189"/>
      <c r="AR107" s="189"/>
      <c r="AS107" s="189"/>
      <c r="AT107" s="189"/>
      <c r="AU107" s="194"/>
      <c r="AV107" s="281"/>
      <c r="AW107" s="279"/>
      <c r="AX107" s="279"/>
      <c r="AY107" s="189"/>
      <c r="AZ107" s="189"/>
      <c r="BA107" s="189"/>
      <c r="BB107" s="189"/>
      <c r="BC107" s="194"/>
      <c r="BD107" s="281"/>
      <c r="BE107" s="279"/>
      <c r="BF107" s="279"/>
      <c r="BG107" s="189"/>
      <c r="BH107" s="189"/>
      <c r="BI107" s="189"/>
      <c r="BJ107" s="189"/>
      <c r="BK107" s="194"/>
      <c r="BL107" s="281"/>
      <c r="BM107" s="279"/>
      <c r="BN107" s="279"/>
      <c r="BO107" s="189"/>
      <c r="BP107" s="189"/>
      <c r="BQ107" s="189"/>
      <c r="BR107" s="189"/>
      <c r="BS107" s="194"/>
      <c r="BT107" s="281"/>
      <c r="BU107" s="279"/>
      <c r="BV107" s="279"/>
      <c r="BW107" s="189"/>
      <c r="BX107" s="189"/>
      <c r="BY107" s="189"/>
      <c r="BZ107" s="189"/>
      <c r="CA107" s="194"/>
      <c r="CB107" s="281"/>
      <c r="CC107" s="279"/>
      <c r="CD107" s="279"/>
      <c r="CE107" s="189"/>
      <c r="CF107" s="189"/>
      <c r="CG107" s="189"/>
      <c r="CH107" s="189"/>
      <c r="CI107" s="194"/>
      <c r="CJ107" s="281"/>
      <c r="CK107" s="279"/>
      <c r="CL107" s="279"/>
      <c r="CM107" s="189"/>
      <c r="CN107" s="189"/>
      <c r="CO107" s="189"/>
      <c r="CP107" s="189"/>
      <c r="CQ107" s="194"/>
      <c r="CR107" s="281"/>
      <c r="CS107" s="279"/>
      <c r="CT107" s="279"/>
      <c r="CU107" s="189"/>
      <c r="CV107" s="189"/>
      <c r="CW107" s="189"/>
      <c r="CX107" s="189"/>
      <c r="CY107" s="194"/>
      <c r="CZ107" s="281"/>
      <c r="DA107" s="279"/>
      <c r="DB107" s="279"/>
      <c r="DC107" s="189"/>
      <c r="DD107" s="189"/>
      <c r="DE107" s="189"/>
      <c r="DF107" s="189"/>
      <c r="DG107" s="194"/>
      <c r="DH107" s="281"/>
      <c r="DI107" s="279"/>
      <c r="DJ107" s="279"/>
      <c r="DK107" s="189"/>
      <c r="DL107" s="189"/>
      <c r="DM107" s="189"/>
      <c r="DN107" s="189"/>
      <c r="DO107" s="194"/>
      <c r="DP107" s="281"/>
      <c r="DQ107" s="279"/>
      <c r="DR107" s="279"/>
      <c r="DS107" s="189"/>
      <c r="DT107" s="189"/>
      <c r="DU107" s="189"/>
      <c r="DV107" s="189"/>
      <c r="DW107" s="194"/>
      <c r="DX107" s="281"/>
      <c r="DY107" s="279"/>
      <c r="DZ107" s="279"/>
      <c r="EA107" s="189"/>
      <c r="EB107" s="189"/>
      <c r="EC107" s="189"/>
      <c r="ED107" s="189"/>
      <c r="EE107" s="194"/>
      <c r="EF107" s="281"/>
      <c r="EG107" s="279"/>
      <c r="EH107" s="279"/>
      <c r="EI107" s="189"/>
      <c r="EJ107" s="189"/>
      <c r="EK107" s="189"/>
      <c r="EL107" s="189"/>
      <c r="EM107" s="194"/>
      <c r="EN107" s="281"/>
      <c r="EO107" s="279"/>
      <c r="EP107" s="279"/>
      <c r="EQ107" s="189"/>
      <c r="ER107" s="189"/>
      <c r="ES107" s="189"/>
      <c r="ET107" s="189"/>
      <c r="EU107" s="194"/>
      <c r="EV107" s="281"/>
      <c r="EW107" s="279"/>
      <c r="EX107" s="279"/>
      <c r="EY107" s="189"/>
      <c r="EZ107" s="189"/>
      <c r="FA107" s="189"/>
      <c r="FB107" s="189"/>
      <c r="FC107" s="194"/>
      <c r="FD107" s="281"/>
      <c r="FE107" s="279"/>
      <c r="FF107" s="279"/>
      <c r="FG107" s="189"/>
      <c r="FH107" s="189"/>
      <c r="FI107" s="189"/>
      <c r="FJ107" s="189"/>
      <c r="FK107" s="194"/>
      <c r="FL107" s="281"/>
      <c r="FM107" s="279"/>
      <c r="FN107" s="279"/>
      <c r="FO107" s="189"/>
      <c r="FP107" s="189"/>
      <c r="FQ107" s="189"/>
      <c r="FR107" s="189"/>
      <c r="FS107" s="194"/>
      <c r="FT107" s="281"/>
      <c r="FU107" s="279"/>
      <c r="FV107" s="279"/>
      <c r="FW107" s="189"/>
      <c r="FX107" s="189"/>
      <c r="FY107" s="189"/>
      <c r="FZ107" s="189"/>
      <c r="GA107" s="194"/>
      <c r="GB107" s="281"/>
      <c r="GC107" s="279"/>
      <c r="GD107" s="279"/>
      <c r="GE107" s="189"/>
      <c r="GF107" s="189"/>
      <c r="GG107" s="189"/>
      <c r="GH107" s="189"/>
      <c r="GI107" s="194"/>
      <c r="GJ107" s="281"/>
      <c r="GK107" s="279"/>
      <c r="GL107" s="279"/>
      <c r="GM107" s="189"/>
      <c r="GN107" s="189"/>
      <c r="GO107" s="189"/>
      <c r="GP107" s="189"/>
      <c r="GQ107" s="194"/>
      <c r="GR107" s="281"/>
      <c r="GS107" s="279"/>
      <c r="GT107" s="279"/>
      <c r="GU107" s="189"/>
      <c r="GV107" s="189"/>
      <c r="GW107" s="189"/>
      <c r="GX107" s="189"/>
      <c r="GY107" s="194"/>
      <c r="GZ107" s="281"/>
      <c r="HA107" s="279"/>
      <c r="HB107" s="279"/>
      <c r="HC107" s="189"/>
      <c r="HD107" s="189"/>
      <c r="HE107" s="189"/>
      <c r="HF107" s="189"/>
      <c r="HG107" s="194"/>
      <c r="HH107" s="281"/>
      <c r="HI107" s="279"/>
      <c r="HJ107" s="279"/>
      <c r="HK107" s="189"/>
      <c r="HL107" s="189"/>
      <c r="HM107" s="189"/>
      <c r="HN107" s="189"/>
      <c r="HO107" s="194"/>
      <c r="HP107" s="281"/>
      <c r="HQ107" s="279"/>
      <c r="HR107" s="279"/>
      <c r="HS107" s="189"/>
      <c r="HT107" s="189"/>
      <c r="HU107" s="189"/>
      <c r="HV107" s="189"/>
      <c r="HW107" s="194"/>
      <c r="HX107" s="281"/>
      <c r="HY107" s="279"/>
      <c r="HZ107" s="279"/>
      <c r="IA107" s="189"/>
      <c r="IB107" s="189"/>
      <c r="IC107" s="189"/>
      <c r="ID107" s="189"/>
      <c r="IE107" s="194"/>
      <c r="IF107" s="281"/>
      <c r="IG107" s="279"/>
      <c r="IH107" s="279"/>
      <c r="II107" s="189"/>
      <c r="IJ107" s="189"/>
      <c r="IK107" s="189"/>
      <c r="IL107" s="189"/>
    </row>
    <row r="108" spans="1:246" s="188" customFormat="1" ht="12.75">
      <c r="A108" s="227">
        <v>23</v>
      </c>
      <c r="B108" s="47" t="s">
        <v>605</v>
      </c>
      <c r="C108" s="212"/>
      <c r="D108" s="212"/>
      <c r="E108" s="215"/>
      <c r="F108" s="215"/>
      <c r="G108" s="287"/>
      <c r="H108" s="366"/>
      <c r="I108" s="227"/>
      <c r="J108" s="51" t="s">
        <v>232</v>
      </c>
      <c r="K108" s="212" t="s">
        <v>80</v>
      </c>
      <c r="L108" s="212">
        <v>60</v>
      </c>
      <c r="M108" s="215"/>
      <c r="N108" s="215"/>
      <c r="O108" s="280"/>
      <c r="P108" s="280"/>
      <c r="Q108" s="279"/>
      <c r="R108" s="279"/>
      <c r="S108" s="189"/>
      <c r="T108" s="189"/>
      <c r="U108" s="190"/>
      <c r="V108" s="189"/>
      <c r="W108" s="194"/>
      <c r="X108" s="281"/>
      <c r="Y108" s="279"/>
      <c r="Z108" s="279"/>
      <c r="AA108" s="189"/>
      <c r="AB108" s="189"/>
      <c r="AC108" s="190"/>
      <c r="AD108" s="189"/>
      <c r="AE108" s="194"/>
      <c r="AF108" s="281"/>
      <c r="AG108" s="279"/>
      <c r="AH108" s="279"/>
      <c r="AI108" s="189"/>
      <c r="AJ108" s="189"/>
      <c r="AK108" s="190"/>
      <c r="AL108" s="189"/>
      <c r="AM108" s="194"/>
      <c r="AN108" s="281"/>
      <c r="AO108" s="279"/>
      <c r="AP108" s="279"/>
      <c r="AQ108" s="189"/>
      <c r="AR108" s="189"/>
      <c r="AS108" s="190"/>
      <c r="AT108" s="189"/>
      <c r="AU108" s="194"/>
      <c r="AV108" s="281"/>
      <c r="AW108" s="279"/>
      <c r="AX108" s="279"/>
      <c r="AY108" s="189"/>
      <c r="AZ108" s="189"/>
      <c r="BA108" s="190"/>
      <c r="BB108" s="189"/>
      <c r="BC108" s="194"/>
      <c r="BD108" s="281"/>
      <c r="BE108" s="279"/>
      <c r="BF108" s="279"/>
      <c r="BG108" s="189"/>
      <c r="BH108" s="189"/>
      <c r="BI108" s="190"/>
      <c r="BJ108" s="189"/>
      <c r="BK108" s="194"/>
      <c r="BL108" s="281"/>
      <c r="BM108" s="279"/>
      <c r="BN108" s="279"/>
      <c r="BO108" s="189"/>
      <c r="BP108" s="189"/>
      <c r="BQ108" s="190"/>
      <c r="BR108" s="189"/>
      <c r="BS108" s="194"/>
      <c r="BT108" s="281"/>
      <c r="BU108" s="279"/>
      <c r="BV108" s="279"/>
      <c r="BW108" s="189"/>
      <c r="BX108" s="189"/>
      <c r="BY108" s="190"/>
      <c r="BZ108" s="189"/>
      <c r="CA108" s="194"/>
      <c r="CB108" s="281"/>
      <c r="CC108" s="279"/>
      <c r="CD108" s="279"/>
      <c r="CE108" s="189"/>
      <c r="CF108" s="189"/>
      <c r="CG108" s="190"/>
      <c r="CH108" s="189"/>
      <c r="CI108" s="194"/>
      <c r="CJ108" s="281"/>
      <c r="CK108" s="279"/>
      <c r="CL108" s="279"/>
      <c r="CM108" s="189"/>
      <c r="CN108" s="189"/>
      <c r="CO108" s="190"/>
      <c r="CP108" s="189"/>
      <c r="CQ108" s="194"/>
      <c r="CR108" s="281"/>
      <c r="CS108" s="279"/>
      <c r="CT108" s="279"/>
      <c r="CU108" s="189"/>
      <c r="CV108" s="189"/>
      <c r="CW108" s="190"/>
      <c r="CX108" s="189"/>
      <c r="CY108" s="194"/>
      <c r="CZ108" s="281"/>
      <c r="DA108" s="279"/>
      <c r="DB108" s="279"/>
      <c r="DC108" s="189"/>
      <c r="DD108" s="189"/>
      <c r="DE108" s="190"/>
      <c r="DF108" s="189"/>
      <c r="DG108" s="194"/>
      <c r="DH108" s="281"/>
      <c r="DI108" s="279"/>
      <c r="DJ108" s="279"/>
      <c r="DK108" s="189"/>
      <c r="DL108" s="189"/>
      <c r="DM108" s="190"/>
      <c r="DN108" s="189"/>
      <c r="DO108" s="194"/>
      <c r="DP108" s="281"/>
      <c r="DQ108" s="279"/>
      <c r="DR108" s="279"/>
      <c r="DS108" s="189"/>
      <c r="DT108" s="189"/>
      <c r="DU108" s="190"/>
      <c r="DV108" s="189"/>
      <c r="DW108" s="194"/>
      <c r="DX108" s="281"/>
      <c r="DY108" s="279"/>
      <c r="DZ108" s="279"/>
      <c r="EA108" s="189"/>
      <c r="EB108" s="189"/>
      <c r="EC108" s="190"/>
      <c r="ED108" s="189"/>
      <c r="EE108" s="194"/>
      <c r="EF108" s="281"/>
      <c r="EG108" s="279"/>
      <c r="EH108" s="279"/>
      <c r="EI108" s="189"/>
      <c r="EJ108" s="189"/>
      <c r="EK108" s="190"/>
      <c r="EL108" s="189"/>
      <c r="EM108" s="194"/>
      <c r="EN108" s="281"/>
      <c r="EO108" s="279"/>
      <c r="EP108" s="279"/>
      <c r="EQ108" s="189"/>
      <c r="ER108" s="189"/>
      <c r="ES108" s="190"/>
      <c r="ET108" s="189"/>
      <c r="EU108" s="194"/>
      <c r="EV108" s="281"/>
      <c r="EW108" s="279"/>
      <c r="EX108" s="279"/>
      <c r="EY108" s="189"/>
      <c r="EZ108" s="189"/>
      <c r="FA108" s="190"/>
      <c r="FB108" s="189"/>
      <c r="FC108" s="194"/>
      <c r="FD108" s="281"/>
      <c r="FE108" s="279"/>
      <c r="FF108" s="279"/>
      <c r="FG108" s="189"/>
      <c r="FH108" s="189"/>
      <c r="FI108" s="190"/>
      <c r="FJ108" s="189"/>
      <c r="FK108" s="194"/>
      <c r="FL108" s="281"/>
      <c r="FM108" s="279"/>
      <c r="FN108" s="279"/>
      <c r="FO108" s="189"/>
      <c r="FP108" s="189"/>
      <c r="FQ108" s="190"/>
      <c r="FR108" s="189"/>
      <c r="FS108" s="194"/>
      <c r="FT108" s="281"/>
      <c r="FU108" s="279"/>
      <c r="FV108" s="279"/>
      <c r="FW108" s="189"/>
      <c r="FX108" s="189"/>
      <c r="FY108" s="190"/>
      <c r="FZ108" s="189"/>
      <c r="GA108" s="194"/>
      <c r="GB108" s="281"/>
      <c r="GC108" s="279"/>
      <c r="GD108" s="279"/>
      <c r="GE108" s="189"/>
      <c r="GF108" s="189"/>
      <c r="GG108" s="190"/>
      <c r="GH108" s="189"/>
      <c r="GI108" s="194"/>
      <c r="GJ108" s="281"/>
      <c r="GK108" s="279"/>
      <c r="GL108" s="279"/>
      <c r="GM108" s="189"/>
      <c r="GN108" s="189"/>
      <c r="GO108" s="190"/>
      <c r="GP108" s="189"/>
      <c r="GQ108" s="194"/>
      <c r="GR108" s="281"/>
      <c r="GS108" s="279"/>
      <c r="GT108" s="279"/>
      <c r="GU108" s="189"/>
      <c r="GV108" s="189"/>
      <c r="GW108" s="190"/>
      <c r="GX108" s="189"/>
      <c r="GY108" s="194"/>
      <c r="GZ108" s="281"/>
      <c r="HA108" s="279"/>
      <c r="HB108" s="279"/>
      <c r="HC108" s="189"/>
      <c r="HD108" s="189"/>
      <c r="HE108" s="190"/>
      <c r="HF108" s="189"/>
      <c r="HG108" s="194"/>
      <c r="HH108" s="281"/>
      <c r="HI108" s="279"/>
      <c r="HJ108" s="279"/>
      <c r="HK108" s="189"/>
      <c r="HL108" s="189"/>
      <c r="HM108" s="190"/>
      <c r="HN108" s="189"/>
      <c r="HO108" s="194"/>
      <c r="HP108" s="281"/>
      <c r="HQ108" s="279"/>
      <c r="HR108" s="279"/>
      <c r="HS108" s="189"/>
      <c r="HT108" s="189"/>
      <c r="HU108" s="190"/>
      <c r="HV108" s="189"/>
      <c r="HW108" s="194"/>
      <c r="HX108" s="281"/>
      <c r="HY108" s="279"/>
      <c r="HZ108" s="279"/>
      <c r="IA108" s="189"/>
      <c r="IB108" s="189"/>
      <c r="IC108" s="190"/>
      <c r="ID108" s="189"/>
      <c r="IE108" s="194"/>
      <c r="IF108" s="281"/>
      <c r="IG108" s="279"/>
      <c r="IH108" s="279"/>
      <c r="II108" s="189"/>
      <c r="IJ108" s="189"/>
      <c r="IK108" s="190"/>
      <c r="IL108" s="189"/>
    </row>
    <row r="109" spans="1:246" s="188" customFormat="1" ht="12.75">
      <c r="A109" s="227"/>
      <c r="B109" s="51" t="s">
        <v>226</v>
      </c>
      <c r="C109" s="212" t="s">
        <v>61</v>
      </c>
      <c r="D109" s="215">
        <v>886</v>
      </c>
      <c r="E109" s="215">
        <v>1</v>
      </c>
      <c r="F109" s="215">
        <v>1</v>
      </c>
      <c r="G109" s="260">
        <f>D109*E109*F109</f>
        <v>886</v>
      </c>
      <c r="H109" s="362">
        <v>45548</v>
      </c>
      <c r="I109" s="227"/>
      <c r="J109" s="51" t="s">
        <v>233</v>
      </c>
      <c r="K109" s="212" t="s">
        <v>53</v>
      </c>
      <c r="L109" s="212">
        <v>1.27</v>
      </c>
      <c r="M109" s="215"/>
      <c r="N109" s="215"/>
      <c r="O109" s="280"/>
      <c r="P109" s="280"/>
      <c r="Q109" s="279"/>
      <c r="R109" s="279"/>
      <c r="S109" s="189"/>
      <c r="T109" s="189"/>
      <c r="U109" s="190"/>
      <c r="V109" s="189"/>
      <c r="W109" s="194"/>
      <c r="X109" s="281"/>
      <c r="Y109" s="279"/>
      <c r="Z109" s="279"/>
      <c r="AA109" s="189"/>
      <c r="AB109" s="189"/>
      <c r="AC109" s="190"/>
      <c r="AD109" s="189"/>
      <c r="AE109" s="194"/>
      <c r="AF109" s="281"/>
      <c r="AG109" s="279"/>
      <c r="AH109" s="279"/>
      <c r="AI109" s="189"/>
      <c r="AJ109" s="189"/>
      <c r="AK109" s="190"/>
      <c r="AL109" s="189"/>
      <c r="AM109" s="194"/>
      <c r="AN109" s="281"/>
      <c r="AO109" s="279"/>
      <c r="AP109" s="279"/>
      <c r="AQ109" s="189"/>
      <c r="AR109" s="189"/>
      <c r="AS109" s="190"/>
      <c r="AT109" s="189"/>
      <c r="AU109" s="194"/>
      <c r="AV109" s="281"/>
      <c r="AW109" s="279"/>
      <c r="AX109" s="279"/>
      <c r="AY109" s="189"/>
      <c r="AZ109" s="189"/>
      <c r="BA109" s="190"/>
      <c r="BB109" s="189"/>
      <c r="BC109" s="194"/>
      <c r="BD109" s="281"/>
      <c r="BE109" s="279"/>
      <c r="BF109" s="279"/>
      <c r="BG109" s="189"/>
      <c r="BH109" s="189"/>
      <c r="BI109" s="190"/>
      <c r="BJ109" s="189"/>
      <c r="BK109" s="194"/>
      <c r="BL109" s="281"/>
      <c r="BM109" s="279"/>
      <c r="BN109" s="279"/>
      <c r="BO109" s="189"/>
      <c r="BP109" s="189"/>
      <c r="BQ109" s="190"/>
      <c r="BR109" s="189"/>
      <c r="BS109" s="194"/>
      <c r="BT109" s="281"/>
      <c r="BU109" s="279"/>
      <c r="BV109" s="279"/>
      <c r="BW109" s="189"/>
      <c r="BX109" s="189"/>
      <c r="BY109" s="190"/>
      <c r="BZ109" s="189"/>
      <c r="CA109" s="194"/>
      <c r="CB109" s="281"/>
      <c r="CC109" s="279"/>
      <c r="CD109" s="279"/>
      <c r="CE109" s="189"/>
      <c r="CF109" s="189"/>
      <c r="CG109" s="190"/>
      <c r="CH109" s="189"/>
      <c r="CI109" s="194"/>
      <c r="CJ109" s="281"/>
      <c r="CK109" s="279"/>
      <c r="CL109" s="279"/>
      <c r="CM109" s="189"/>
      <c r="CN109" s="189"/>
      <c r="CO109" s="190"/>
      <c r="CP109" s="189"/>
      <c r="CQ109" s="194"/>
      <c r="CR109" s="281"/>
      <c r="CS109" s="279"/>
      <c r="CT109" s="279"/>
      <c r="CU109" s="189"/>
      <c r="CV109" s="189"/>
      <c r="CW109" s="190"/>
      <c r="CX109" s="189"/>
      <c r="CY109" s="194"/>
      <c r="CZ109" s="281"/>
      <c r="DA109" s="279"/>
      <c r="DB109" s="279"/>
      <c r="DC109" s="189"/>
      <c r="DD109" s="189"/>
      <c r="DE109" s="190"/>
      <c r="DF109" s="189"/>
      <c r="DG109" s="194"/>
      <c r="DH109" s="281"/>
      <c r="DI109" s="279"/>
      <c r="DJ109" s="279"/>
      <c r="DK109" s="189"/>
      <c r="DL109" s="189"/>
      <c r="DM109" s="190"/>
      <c r="DN109" s="189"/>
      <c r="DO109" s="194"/>
      <c r="DP109" s="281"/>
      <c r="DQ109" s="279"/>
      <c r="DR109" s="279"/>
      <c r="DS109" s="189"/>
      <c r="DT109" s="189"/>
      <c r="DU109" s="190"/>
      <c r="DV109" s="189"/>
      <c r="DW109" s="194"/>
      <c r="DX109" s="281"/>
      <c r="DY109" s="279"/>
      <c r="DZ109" s="279"/>
      <c r="EA109" s="189"/>
      <c r="EB109" s="189"/>
      <c r="EC109" s="190"/>
      <c r="ED109" s="189"/>
      <c r="EE109" s="194"/>
      <c r="EF109" s="281"/>
      <c r="EG109" s="279"/>
      <c r="EH109" s="279"/>
      <c r="EI109" s="189"/>
      <c r="EJ109" s="189"/>
      <c r="EK109" s="190"/>
      <c r="EL109" s="189"/>
      <c r="EM109" s="194"/>
      <c r="EN109" s="281"/>
      <c r="EO109" s="279"/>
      <c r="EP109" s="279"/>
      <c r="EQ109" s="189"/>
      <c r="ER109" s="189"/>
      <c r="ES109" s="190"/>
      <c r="ET109" s="189"/>
      <c r="EU109" s="194"/>
      <c r="EV109" s="281"/>
      <c r="EW109" s="279"/>
      <c r="EX109" s="279"/>
      <c r="EY109" s="189"/>
      <c r="EZ109" s="189"/>
      <c r="FA109" s="190"/>
      <c r="FB109" s="189"/>
      <c r="FC109" s="194"/>
      <c r="FD109" s="281"/>
      <c r="FE109" s="279"/>
      <c r="FF109" s="279"/>
      <c r="FG109" s="189"/>
      <c r="FH109" s="189"/>
      <c r="FI109" s="190"/>
      <c r="FJ109" s="189"/>
      <c r="FK109" s="194"/>
      <c r="FL109" s="281"/>
      <c r="FM109" s="279"/>
      <c r="FN109" s="279"/>
      <c r="FO109" s="189"/>
      <c r="FP109" s="189"/>
      <c r="FQ109" s="190"/>
      <c r="FR109" s="189"/>
      <c r="FS109" s="194"/>
      <c r="FT109" s="281"/>
      <c r="FU109" s="279"/>
      <c r="FV109" s="279"/>
      <c r="FW109" s="189"/>
      <c r="FX109" s="189"/>
      <c r="FY109" s="190"/>
      <c r="FZ109" s="189"/>
      <c r="GA109" s="194"/>
      <c r="GB109" s="281"/>
      <c r="GC109" s="279"/>
      <c r="GD109" s="279"/>
      <c r="GE109" s="189"/>
      <c r="GF109" s="189"/>
      <c r="GG109" s="190"/>
      <c r="GH109" s="189"/>
      <c r="GI109" s="194"/>
      <c r="GJ109" s="281"/>
      <c r="GK109" s="279"/>
      <c r="GL109" s="279"/>
      <c r="GM109" s="189"/>
      <c r="GN109" s="189"/>
      <c r="GO109" s="190"/>
      <c r="GP109" s="189"/>
      <c r="GQ109" s="194"/>
      <c r="GR109" s="281"/>
      <c r="GS109" s="279"/>
      <c r="GT109" s="279"/>
      <c r="GU109" s="189"/>
      <c r="GV109" s="189"/>
      <c r="GW109" s="190"/>
      <c r="GX109" s="189"/>
      <c r="GY109" s="194"/>
      <c r="GZ109" s="281"/>
      <c r="HA109" s="279"/>
      <c r="HB109" s="279"/>
      <c r="HC109" s="189"/>
      <c r="HD109" s="189"/>
      <c r="HE109" s="190"/>
      <c r="HF109" s="189"/>
      <c r="HG109" s="194"/>
      <c r="HH109" s="281"/>
      <c r="HI109" s="279"/>
      <c r="HJ109" s="279"/>
      <c r="HK109" s="189"/>
      <c r="HL109" s="189"/>
      <c r="HM109" s="190"/>
      <c r="HN109" s="189"/>
      <c r="HO109" s="194"/>
      <c r="HP109" s="281"/>
      <c r="HQ109" s="279"/>
      <c r="HR109" s="279"/>
      <c r="HS109" s="189"/>
      <c r="HT109" s="189"/>
      <c r="HU109" s="190"/>
      <c r="HV109" s="189"/>
      <c r="HW109" s="194"/>
      <c r="HX109" s="281"/>
      <c r="HY109" s="279"/>
      <c r="HZ109" s="279"/>
      <c r="IA109" s="189"/>
      <c r="IB109" s="189"/>
      <c r="IC109" s="190"/>
      <c r="ID109" s="189"/>
      <c r="IE109" s="194"/>
      <c r="IF109" s="281"/>
      <c r="IG109" s="279"/>
      <c r="IH109" s="279"/>
      <c r="II109" s="189"/>
      <c r="IJ109" s="189"/>
      <c r="IK109" s="190"/>
      <c r="IL109" s="189"/>
    </row>
    <row r="110" spans="1:246" s="188" customFormat="1" ht="12.75">
      <c r="A110" s="227"/>
      <c r="B110" s="51" t="s">
        <v>232</v>
      </c>
      <c r="C110" s="212" t="s">
        <v>61</v>
      </c>
      <c r="D110" s="212">
        <v>596</v>
      </c>
      <c r="E110" s="215">
        <v>1</v>
      </c>
      <c r="F110" s="215">
        <v>1</v>
      </c>
      <c r="G110" s="260">
        <f aca="true" t="shared" si="8" ref="G110:G123">D110*E110*F110</f>
        <v>596</v>
      </c>
      <c r="H110" s="362">
        <v>58783</v>
      </c>
      <c r="I110" s="227"/>
      <c r="J110" s="51" t="s">
        <v>234</v>
      </c>
      <c r="K110" s="212" t="s">
        <v>80</v>
      </c>
      <c r="L110" s="212">
        <v>165</v>
      </c>
      <c r="M110" s="215"/>
      <c r="N110" s="215"/>
      <c r="O110" s="215"/>
      <c r="P110" s="189"/>
      <c r="Q110" s="279"/>
      <c r="R110" s="279"/>
      <c r="S110" s="189"/>
      <c r="T110" s="189"/>
      <c r="U110" s="190"/>
      <c r="V110" s="189"/>
      <c r="W110" s="194"/>
      <c r="X110" s="281"/>
      <c r="Y110" s="279"/>
      <c r="Z110" s="279"/>
      <c r="AA110" s="189"/>
      <c r="AB110" s="189"/>
      <c r="AC110" s="190"/>
      <c r="AD110" s="189"/>
      <c r="AE110" s="194"/>
      <c r="AF110" s="281"/>
      <c r="AG110" s="279"/>
      <c r="AH110" s="279"/>
      <c r="AI110" s="189"/>
      <c r="AJ110" s="189"/>
      <c r="AK110" s="190"/>
      <c r="AL110" s="189"/>
      <c r="AM110" s="194"/>
      <c r="AN110" s="281"/>
      <c r="AO110" s="279"/>
      <c r="AP110" s="279"/>
      <c r="AQ110" s="189"/>
      <c r="AR110" s="189"/>
      <c r="AS110" s="190"/>
      <c r="AT110" s="189"/>
      <c r="AU110" s="194"/>
      <c r="AV110" s="281"/>
      <c r="AW110" s="279"/>
      <c r="AX110" s="279"/>
      <c r="AY110" s="189"/>
      <c r="AZ110" s="189"/>
      <c r="BA110" s="190"/>
      <c r="BB110" s="189"/>
      <c r="BC110" s="194"/>
      <c r="BD110" s="281"/>
      <c r="BE110" s="279"/>
      <c r="BF110" s="279"/>
      <c r="BG110" s="189"/>
      <c r="BH110" s="189"/>
      <c r="BI110" s="190"/>
      <c r="BJ110" s="189"/>
      <c r="BK110" s="194"/>
      <c r="BL110" s="281"/>
      <c r="BM110" s="279"/>
      <c r="BN110" s="279"/>
      <c r="BO110" s="189"/>
      <c r="BP110" s="189"/>
      <c r="BQ110" s="190"/>
      <c r="BR110" s="189"/>
      <c r="BS110" s="194"/>
      <c r="BT110" s="281"/>
      <c r="BU110" s="279"/>
      <c r="BV110" s="279"/>
      <c r="BW110" s="189"/>
      <c r="BX110" s="189"/>
      <c r="BY110" s="190"/>
      <c r="BZ110" s="189"/>
      <c r="CA110" s="194"/>
      <c r="CB110" s="281"/>
      <c r="CC110" s="279"/>
      <c r="CD110" s="279"/>
      <c r="CE110" s="189"/>
      <c r="CF110" s="189"/>
      <c r="CG110" s="190"/>
      <c r="CH110" s="189"/>
      <c r="CI110" s="194"/>
      <c r="CJ110" s="281"/>
      <c r="CK110" s="279"/>
      <c r="CL110" s="279"/>
      <c r="CM110" s="189"/>
      <c r="CN110" s="189"/>
      <c r="CO110" s="190"/>
      <c r="CP110" s="189"/>
      <c r="CQ110" s="194"/>
      <c r="CR110" s="281"/>
      <c r="CS110" s="279"/>
      <c r="CT110" s="279"/>
      <c r="CU110" s="189"/>
      <c r="CV110" s="189"/>
      <c r="CW110" s="190"/>
      <c r="CX110" s="189"/>
      <c r="CY110" s="194"/>
      <c r="CZ110" s="281"/>
      <c r="DA110" s="279"/>
      <c r="DB110" s="279"/>
      <c r="DC110" s="189"/>
      <c r="DD110" s="189"/>
      <c r="DE110" s="190"/>
      <c r="DF110" s="189"/>
      <c r="DG110" s="194"/>
      <c r="DH110" s="281"/>
      <c r="DI110" s="279"/>
      <c r="DJ110" s="279"/>
      <c r="DK110" s="189"/>
      <c r="DL110" s="189"/>
      <c r="DM110" s="190"/>
      <c r="DN110" s="189"/>
      <c r="DO110" s="194"/>
      <c r="DP110" s="281"/>
      <c r="DQ110" s="279"/>
      <c r="DR110" s="279"/>
      <c r="DS110" s="189"/>
      <c r="DT110" s="189"/>
      <c r="DU110" s="190"/>
      <c r="DV110" s="189"/>
      <c r="DW110" s="194"/>
      <c r="DX110" s="281"/>
      <c r="DY110" s="279"/>
      <c r="DZ110" s="279"/>
      <c r="EA110" s="189"/>
      <c r="EB110" s="189"/>
      <c r="EC110" s="190"/>
      <c r="ED110" s="189"/>
      <c r="EE110" s="194"/>
      <c r="EF110" s="281"/>
      <c r="EG110" s="279"/>
      <c r="EH110" s="279"/>
      <c r="EI110" s="189"/>
      <c r="EJ110" s="189"/>
      <c r="EK110" s="190"/>
      <c r="EL110" s="189"/>
      <c r="EM110" s="194"/>
      <c r="EN110" s="281"/>
      <c r="EO110" s="279"/>
      <c r="EP110" s="279"/>
      <c r="EQ110" s="189"/>
      <c r="ER110" s="189"/>
      <c r="ES110" s="190"/>
      <c r="ET110" s="189"/>
      <c r="EU110" s="194"/>
      <c r="EV110" s="281"/>
      <c r="EW110" s="279"/>
      <c r="EX110" s="279"/>
      <c r="EY110" s="189"/>
      <c r="EZ110" s="189"/>
      <c r="FA110" s="190"/>
      <c r="FB110" s="189"/>
      <c r="FC110" s="194"/>
      <c r="FD110" s="281"/>
      <c r="FE110" s="279"/>
      <c r="FF110" s="279"/>
      <c r="FG110" s="189"/>
      <c r="FH110" s="189"/>
      <c r="FI110" s="190"/>
      <c r="FJ110" s="189"/>
      <c r="FK110" s="194"/>
      <c r="FL110" s="281"/>
      <c r="FM110" s="279"/>
      <c r="FN110" s="279"/>
      <c r="FO110" s="189"/>
      <c r="FP110" s="189"/>
      <c r="FQ110" s="190"/>
      <c r="FR110" s="189"/>
      <c r="FS110" s="194"/>
      <c r="FT110" s="281"/>
      <c r="FU110" s="279"/>
      <c r="FV110" s="279"/>
      <c r="FW110" s="189"/>
      <c r="FX110" s="189"/>
      <c r="FY110" s="190"/>
      <c r="FZ110" s="189"/>
      <c r="GA110" s="194"/>
      <c r="GB110" s="281"/>
      <c r="GC110" s="279"/>
      <c r="GD110" s="279"/>
      <c r="GE110" s="189"/>
      <c r="GF110" s="189"/>
      <c r="GG110" s="190"/>
      <c r="GH110" s="189"/>
      <c r="GI110" s="194"/>
      <c r="GJ110" s="281"/>
      <c r="GK110" s="279"/>
      <c r="GL110" s="279"/>
      <c r="GM110" s="189"/>
      <c r="GN110" s="189"/>
      <c r="GO110" s="190"/>
      <c r="GP110" s="189"/>
      <c r="GQ110" s="194"/>
      <c r="GR110" s="281"/>
      <c r="GS110" s="279"/>
      <c r="GT110" s="279"/>
      <c r="GU110" s="189"/>
      <c r="GV110" s="189"/>
      <c r="GW110" s="190"/>
      <c r="GX110" s="189"/>
      <c r="GY110" s="194"/>
      <c r="GZ110" s="281"/>
      <c r="HA110" s="279"/>
      <c r="HB110" s="279"/>
      <c r="HC110" s="189"/>
      <c r="HD110" s="189"/>
      <c r="HE110" s="190"/>
      <c r="HF110" s="189"/>
      <c r="HG110" s="194"/>
      <c r="HH110" s="281"/>
      <c r="HI110" s="279"/>
      <c r="HJ110" s="279"/>
      <c r="HK110" s="189"/>
      <c r="HL110" s="189"/>
      <c r="HM110" s="190"/>
      <c r="HN110" s="189"/>
      <c r="HO110" s="194"/>
      <c r="HP110" s="281"/>
      <c r="HQ110" s="279"/>
      <c r="HR110" s="279"/>
      <c r="HS110" s="189"/>
      <c r="HT110" s="189"/>
      <c r="HU110" s="190"/>
      <c r="HV110" s="189"/>
      <c r="HW110" s="194"/>
      <c r="HX110" s="281"/>
      <c r="HY110" s="279"/>
      <c r="HZ110" s="279"/>
      <c r="IA110" s="189"/>
      <c r="IB110" s="189"/>
      <c r="IC110" s="190"/>
      <c r="ID110" s="189"/>
      <c r="IE110" s="194"/>
      <c r="IF110" s="281"/>
      <c r="IG110" s="279"/>
      <c r="IH110" s="279"/>
      <c r="II110" s="189"/>
      <c r="IJ110" s="189"/>
      <c r="IK110" s="190"/>
      <c r="IL110" s="189"/>
    </row>
    <row r="111" spans="1:246" s="188" customFormat="1" ht="12.75">
      <c r="A111" s="227"/>
      <c r="B111" s="51" t="s">
        <v>642</v>
      </c>
      <c r="C111" s="212" t="s">
        <v>61</v>
      </c>
      <c r="D111" s="212">
        <v>719</v>
      </c>
      <c r="E111" s="215">
        <v>1</v>
      </c>
      <c r="F111" s="215">
        <v>1</v>
      </c>
      <c r="G111" s="260">
        <f t="shared" si="8"/>
        <v>719</v>
      </c>
      <c r="H111" s="362">
        <v>16006</v>
      </c>
      <c r="I111" s="227"/>
      <c r="J111" s="51" t="s">
        <v>355</v>
      </c>
      <c r="K111" s="212" t="s">
        <v>80</v>
      </c>
      <c r="L111" s="212">
        <f>50+75</f>
        <v>125</v>
      </c>
      <c r="M111" s="215"/>
      <c r="N111" s="215"/>
      <c r="O111" s="215"/>
      <c r="P111" s="215"/>
      <c r="Q111" s="279"/>
      <c r="R111" s="279"/>
      <c r="S111" s="189"/>
      <c r="T111" s="189"/>
      <c r="U111" s="190"/>
      <c r="V111" s="189"/>
      <c r="W111" s="194"/>
      <c r="X111" s="281"/>
      <c r="Y111" s="279"/>
      <c r="Z111" s="279"/>
      <c r="AA111" s="189"/>
      <c r="AB111" s="189"/>
      <c r="AC111" s="190"/>
      <c r="AD111" s="189"/>
      <c r="AE111" s="194"/>
      <c r="AF111" s="281"/>
      <c r="AG111" s="279"/>
      <c r="AH111" s="279"/>
      <c r="AI111" s="189"/>
      <c r="AJ111" s="189"/>
      <c r="AK111" s="190"/>
      <c r="AL111" s="189"/>
      <c r="AM111" s="194"/>
      <c r="AN111" s="281"/>
      <c r="AO111" s="279"/>
      <c r="AP111" s="279"/>
      <c r="AQ111" s="189"/>
      <c r="AR111" s="189"/>
      <c r="AS111" s="190"/>
      <c r="AT111" s="189"/>
      <c r="AU111" s="194"/>
      <c r="AV111" s="281"/>
      <c r="AW111" s="279"/>
      <c r="AX111" s="279"/>
      <c r="AY111" s="189"/>
      <c r="AZ111" s="189"/>
      <c r="BA111" s="190"/>
      <c r="BB111" s="189"/>
      <c r="BC111" s="194"/>
      <c r="BD111" s="281"/>
      <c r="BE111" s="279"/>
      <c r="BF111" s="279"/>
      <c r="BG111" s="189"/>
      <c r="BH111" s="189"/>
      <c r="BI111" s="190"/>
      <c r="BJ111" s="189"/>
      <c r="BK111" s="194"/>
      <c r="BL111" s="281"/>
      <c r="BM111" s="279"/>
      <c r="BN111" s="279"/>
      <c r="BO111" s="189"/>
      <c r="BP111" s="189"/>
      <c r="BQ111" s="190"/>
      <c r="BR111" s="189"/>
      <c r="BS111" s="194"/>
      <c r="BT111" s="281"/>
      <c r="BU111" s="279"/>
      <c r="BV111" s="279"/>
      <c r="BW111" s="189"/>
      <c r="BX111" s="189"/>
      <c r="BY111" s="190"/>
      <c r="BZ111" s="189"/>
      <c r="CA111" s="194"/>
      <c r="CB111" s="281"/>
      <c r="CC111" s="279"/>
      <c r="CD111" s="279"/>
      <c r="CE111" s="189"/>
      <c r="CF111" s="189"/>
      <c r="CG111" s="190"/>
      <c r="CH111" s="189"/>
      <c r="CI111" s="194"/>
      <c r="CJ111" s="281"/>
      <c r="CK111" s="279"/>
      <c r="CL111" s="279"/>
      <c r="CM111" s="189"/>
      <c r="CN111" s="189"/>
      <c r="CO111" s="190"/>
      <c r="CP111" s="189"/>
      <c r="CQ111" s="194"/>
      <c r="CR111" s="281"/>
      <c r="CS111" s="279"/>
      <c r="CT111" s="279"/>
      <c r="CU111" s="189"/>
      <c r="CV111" s="189"/>
      <c r="CW111" s="190"/>
      <c r="CX111" s="189"/>
      <c r="CY111" s="194"/>
      <c r="CZ111" s="281"/>
      <c r="DA111" s="279"/>
      <c r="DB111" s="279"/>
      <c r="DC111" s="189"/>
      <c r="DD111" s="189"/>
      <c r="DE111" s="190"/>
      <c r="DF111" s="189"/>
      <c r="DG111" s="194"/>
      <c r="DH111" s="281"/>
      <c r="DI111" s="279"/>
      <c r="DJ111" s="279"/>
      <c r="DK111" s="189"/>
      <c r="DL111" s="189"/>
      <c r="DM111" s="190"/>
      <c r="DN111" s="189"/>
      <c r="DO111" s="194"/>
      <c r="DP111" s="281"/>
      <c r="DQ111" s="279"/>
      <c r="DR111" s="279"/>
      <c r="DS111" s="189"/>
      <c r="DT111" s="189"/>
      <c r="DU111" s="190"/>
      <c r="DV111" s="189"/>
      <c r="DW111" s="194"/>
      <c r="DX111" s="281"/>
      <c r="DY111" s="279"/>
      <c r="DZ111" s="279"/>
      <c r="EA111" s="189"/>
      <c r="EB111" s="189"/>
      <c r="EC111" s="190"/>
      <c r="ED111" s="189"/>
      <c r="EE111" s="194"/>
      <c r="EF111" s="281"/>
      <c r="EG111" s="279"/>
      <c r="EH111" s="279"/>
      <c r="EI111" s="189"/>
      <c r="EJ111" s="189"/>
      <c r="EK111" s="190"/>
      <c r="EL111" s="189"/>
      <c r="EM111" s="194"/>
      <c r="EN111" s="281"/>
      <c r="EO111" s="279"/>
      <c r="EP111" s="279"/>
      <c r="EQ111" s="189"/>
      <c r="ER111" s="189"/>
      <c r="ES111" s="190"/>
      <c r="ET111" s="189"/>
      <c r="EU111" s="194"/>
      <c r="EV111" s="281"/>
      <c r="EW111" s="279"/>
      <c r="EX111" s="279"/>
      <c r="EY111" s="189"/>
      <c r="EZ111" s="189"/>
      <c r="FA111" s="190"/>
      <c r="FB111" s="189"/>
      <c r="FC111" s="194"/>
      <c r="FD111" s="281"/>
      <c r="FE111" s="279"/>
      <c r="FF111" s="279"/>
      <c r="FG111" s="189"/>
      <c r="FH111" s="189"/>
      <c r="FI111" s="190"/>
      <c r="FJ111" s="189"/>
      <c r="FK111" s="194"/>
      <c r="FL111" s="281"/>
      <c r="FM111" s="279"/>
      <c r="FN111" s="279"/>
      <c r="FO111" s="189"/>
      <c r="FP111" s="189"/>
      <c r="FQ111" s="190"/>
      <c r="FR111" s="189"/>
      <c r="FS111" s="194"/>
      <c r="FT111" s="281"/>
      <c r="FU111" s="279"/>
      <c r="FV111" s="279"/>
      <c r="FW111" s="189"/>
      <c r="FX111" s="189"/>
      <c r="FY111" s="190"/>
      <c r="FZ111" s="189"/>
      <c r="GA111" s="194"/>
      <c r="GB111" s="281"/>
      <c r="GC111" s="279"/>
      <c r="GD111" s="279"/>
      <c r="GE111" s="189"/>
      <c r="GF111" s="189"/>
      <c r="GG111" s="190"/>
      <c r="GH111" s="189"/>
      <c r="GI111" s="194"/>
      <c r="GJ111" s="281"/>
      <c r="GK111" s="279"/>
      <c r="GL111" s="279"/>
      <c r="GM111" s="189"/>
      <c r="GN111" s="189"/>
      <c r="GO111" s="190"/>
      <c r="GP111" s="189"/>
      <c r="GQ111" s="194"/>
      <c r="GR111" s="281"/>
      <c r="GS111" s="279"/>
      <c r="GT111" s="279"/>
      <c r="GU111" s="189"/>
      <c r="GV111" s="189"/>
      <c r="GW111" s="190"/>
      <c r="GX111" s="189"/>
      <c r="GY111" s="194"/>
      <c r="GZ111" s="281"/>
      <c r="HA111" s="279"/>
      <c r="HB111" s="279"/>
      <c r="HC111" s="189"/>
      <c r="HD111" s="189"/>
      <c r="HE111" s="190"/>
      <c r="HF111" s="189"/>
      <c r="HG111" s="194"/>
      <c r="HH111" s="281"/>
      <c r="HI111" s="279"/>
      <c r="HJ111" s="279"/>
      <c r="HK111" s="189"/>
      <c r="HL111" s="189"/>
      <c r="HM111" s="190"/>
      <c r="HN111" s="189"/>
      <c r="HO111" s="194"/>
      <c r="HP111" s="281"/>
      <c r="HQ111" s="279"/>
      <c r="HR111" s="279"/>
      <c r="HS111" s="189"/>
      <c r="HT111" s="189"/>
      <c r="HU111" s="190"/>
      <c r="HV111" s="189"/>
      <c r="HW111" s="194"/>
      <c r="HX111" s="281"/>
      <c r="HY111" s="279"/>
      <c r="HZ111" s="279"/>
      <c r="IA111" s="189"/>
      <c r="IB111" s="189"/>
      <c r="IC111" s="190"/>
      <c r="ID111" s="189"/>
      <c r="IE111" s="194"/>
      <c r="IF111" s="281"/>
      <c r="IG111" s="279"/>
      <c r="IH111" s="279"/>
      <c r="II111" s="189"/>
      <c r="IJ111" s="189"/>
      <c r="IK111" s="190"/>
      <c r="IL111" s="189"/>
    </row>
    <row r="112" spans="1:246" s="188" customFormat="1" ht="12.75">
      <c r="A112" s="227"/>
      <c r="B112" s="51" t="s">
        <v>234</v>
      </c>
      <c r="C112" s="212" t="s">
        <v>61</v>
      </c>
      <c r="D112" s="212">
        <v>1245</v>
      </c>
      <c r="E112" s="215">
        <v>1</v>
      </c>
      <c r="F112" s="215">
        <v>1</v>
      </c>
      <c r="G112" s="260">
        <f t="shared" si="8"/>
        <v>1245</v>
      </c>
      <c r="H112" s="362">
        <v>72660</v>
      </c>
      <c r="I112" s="227"/>
      <c r="J112" s="51" t="s">
        <v>237</v>
      </c>
      <c r="K112" s="212" t="s">
        <v>53</v>
      </c>
      <c r="L112" s="212">
        <f>2.8+3.7</f>
        <v>6.5</v>
      </c>
      <c r="M112" s="215"/>
      <c r="N112" s="215"/>
      <c r="O112" s="261"/>
      <c r="P112" s="260"/>
      <c r="Q112" s="279"/>
      <c r="R112" s="279"/>
      <c r="S112" s="189"/>
      <c r="T112" s="189"/>
      <c r="U112" s="189"/>
      <c r="V112" s="189"/>
      <c r="W112" s="194"/>
      <c r="X112" s="281"/>
      <c r="Y112" s="279"/>
      <c r="Z112" s="279"/>
      <c r="AA112" s="189"/>
      <c r="AB112" s="189"/>
      <c r="AC112" s="189"/>
      <c r="AD112" s="189"/>
      <c r="AE112" s="194"/>
      <c r="AF112" s="281"/>
      <c r="AG112" s="279"/>
      <c r="AH112" s="279"/>
      <c r="AI112" s="189"/>
      <c r="AJ112" s="189"/>
      <c r="AK112" s="189"/>
      <c r="AL112" s="189"/>
      <c r="AM112" s="194"/>
      <c r="AN112" s="281"/>
      <c r="AO112" s="279"/>
      <c r="AP112" s="279"/>
      <c r="AQ112" s="189"/>
      <c r="AR112" s="189"/>
      <c r="AS112" s="189"/>
      <c r="AT112" s="189"/>
      <c r="AU112" s="194"/>
      <c r="AV112" s="281"/>
      <c r="AW112" s="279"/>
      <c r="AX112" s="279"/>
      <c r="AY112" s="189"/>
      <c r="AZ112" s="189"/>
      <c r="BA112" s="189"/>
      <c r="BB112" s="189"/>
      <c r="BC112" s="194"/>
      <c r="BD112" s="281"/>
      <c r="BE112" s="279"/>
      <c r="BF112" s="279"/>
      <c r="BG112" s="189"/>
      <c r="BH112" s="189"/>
      <c r="BI112" s="189"/>
      <c r="BJ112" s="189"/>
      <c r="BK112" s="194"/>
      <c r="BL112" s="281"/>
      <c r="BM112" s="279"/>
      <c r="BN112" s="279"/>
      <c r="BO112" s="189"/>
      <c r="BP112" s="189"/>
      <c r="BQ112" s="189"/>
      <c r="BR112" s="189"/>
      <c r="BS112" s="194"/>
      <c r="BT112" s="281"/>
      <c r="BU112" s="279"/>
      <c r="BV112" s="279"/>
      <c r="BW112" s="189"/>
      <c r="BX112" s="189"/>
      <c r="BY112" s="189"/>
      <c r="BZ112" s="189"/>
      <c r="CA112" s="194"/>
      <c r="CB112" s="281"/>
      <c r="CC112" s="279"/>
      <c r="CD112" s="279"/>
      <c r="CE112" s="189"/>
      <c r="CF112" s="189"/>
      <c r="CG112" s="189"/>
      <c r="CH112" s="189"/>
      <c r="CI112" s="194"/>
      <c r="CJ112" s="281"/>
      <c r="CK112" s="279"/>
      <c r="CL112" s="279"/>
      <c r="CM112" s="189"/>
      <c r="CN112" s="189"/>
      <c r="CO112" s="189"/>
      <c r="CP112" s="189"/>
      <c r="CQ112" s="194"/>
      <c r="CR112" s="281"/>
      <c r="CS112" s="279"/>
      <c r="CT112" s="279"/>
      <c r="CU112" s="189"/>
      <c r="CV112" s="189"/>
      <c r="CW112" s="189"/>
      <c r="CX112" s="189"/>
      <c r="CY112" s="194"/>
      <c r="CZ112" s="281"/>
      <c r="DA112" s="279"/>
      <c r="DB112" s="279"/>
      <c r="DC112" s="189"/>
      <c r="DD112" s="189"/>
      <c r="DE112" s="189"/>
      <c r="DF112" s="189"/>
      <c r="DG112" s="194"/>
      <c r="DH112" s="281"/>
      <c r="DI112" s="279"/>
      <c r="DJ112" s="279"/>
      <c r="DK112" s="189"/>
      <c r="DL112" s="189"/>
      <c r="DM112" s="189"/>
      <c r="DN112" s="189"/>
      <c r="DO112" s="194"/>
      <c r="DP112" s="281"/>
      <c r="DQ112" s="279"/>
      <c r="DR112" s="279"/>
      <c r="DS112" s="189"/>
      <c r="DT112" s="189"/>
      <c r="DU112" s="189"/>
      <c r="DV112" s="189"/>
      <c r="DW112" s="194"/>
      <c r="DX112" s="281"/>
      <c r="DY112" s="279"/>
      <c r="DZ112" s="279"/>
      <c r="EA112" s="189"/>
      <c r="EB112" s="189"/>
      <c r="EC112" s="189"/>
      <c r="ED112" s="189"/>
      <c r="EE112" s="194"/>
      <c r="EF112" s="281"/>
      <c r="EG112" s="279"/>
      <c r="EH112" s="279"/>
      <c r="EI112" s="189"/>
      <c r="EJ112" s="189"/>
      <c r="EK112" s="189"/>
      <c r="EL112" s="189"/>
      <c r="EM112" s="194"/>
      <c r="EN112" s="281"/>
      <c r="EO112" s="279"/>
      <c r="EP112" s="279"/>
      <c r="EQ112" s="189"/>
      <c r="ER112" s="189"/>
      <c r="ES112" s="189"/>
      <c r="ET112" s="189"/>
      <c r="EU112" s="194"/>
      <c r="EV112" s="281"/>
      <c r="EW112" s="279"/>
      <c r="EX112" s="279"/>
      <c r="EY112" s="189"/>
      <c r="EZ112" s="189"/>
      <c r="FA112" s="189"/>
      <c r="FB112" s="189"/>
      <c r="FC112" s="194"/>
      <c r="FD112" s="281"/>
      <c r="FE112" s="279"/>
      <c r="FF112" s="279"/>
      <c r="FG112" s="189"/>
      <c r="FH112" s="189"/>
      <c r="FI112" s="189"/>
      <c r="FJ112" s="189"/>
      <c r="FK112" s="194"/>
      <c r="FL112" s="281"/>
      <c r="FM112" s="279"/>
      <c r="FN112" s="279"/>
      <c r="FO112" s="189"/>
      <c r="FP112" s="189"/>
      <c r="FQ112" s="189"/>
      <c r="FR112" s="189"/>
      <c r="FS112" s="194"/>
      <c r="FT112" s="281"/>
      <c r="FU112" s="279"/>
      <c r="FV112" s="279"/>
      <c r="FW112" s="189"/>
      <c r="FX112" s="189"/>
      <c r="FY112" s="189"/>
      <c r="FZ112" s="189"/>
      <c r="GA112" s="194"/>
      <c r="GB112" s="281"/>
      <c r="GC112" s="279"/>
      <c r="GD112" s="279"/>
      <c r="GE112" s="189"/>
      <c r="GF112" s="189"/>
      <c r="GG112" s="189"/>
      <c r="GH112" s="189"/>
      <c r="GI112" s="194"/>
      <c r="GJ112" s="281"/>
      <c r="GK112" s="279"/>
      <c r="GL112" s="279"/>
      <c r="GM112" s="189"/>
      <c r="GN112" s="189"/>
      <c r="GO112" s="189"/>
      <c r="GP112" s="189"/>
      <c r="GQ112" s="194"/>
      <c r="GR112" s="281"/>
      <c r="GS112" s="279"/>
      <c r="GT112" s="279"/>
      <c r="GU112" s="189"/>
      <c r="GV112" s="189"/>
      <c r="GW112" s="189"/>
      <c r="GX112" s="189"/>
      <c r="GY112" s="194"/>
      <c r="GZ112" s="281"/>
      <c r="HA112" s="279"/>
      <c r="HB112" s="279"/>
      <c r="HC112" s="189"/>
      <c r="HD112" s="189"/>
      <c r="HE112" s="189"/>
      <c r="HF112" s="189"/>
      <c r="HG112" s="194"/>
      <c r="HH112" s="281"/>
      <c r="HI112" s="279"/>
      <c r="HJ112" s="279"/>
      <c r="HK112" s="189"/>
      <c r="HL112" s="189"/>
      <c r="HM112" s="189"/>
      <c r="HN112" s="189"/>
      <c r="HO112" s="194"/>
      <c r="HP112" s="281"/>
      <c r="HQ112" s="279"/>
      <c r="HR112" s="279"/>
      <c r="HS112" s="189"/>
      <c r="HT112" s="189"/>
      <c r="HU112" s="189"/>
      <c r="HV112" s="189"/>
      <c r="HW112" s="194"/>
      <c r="HX112" s="281"/>
      <c r="HY112" s="279"/>
      <c r="HZ112" s="279"/>
      <c r="IA112" s="189"/>
      <c r="IB112" s="189"/>
      <c r="IC112" s="189"/>
      <c r="ID112" s="189"/>
      <c r="IE112" s="194"/>
      <c r="IF112" s="281"/>
      <c r="IG112" s="279"/>
      <c r="IH112" s="279"/>
      <c r="II112" s="189"/>
      <c r="IJ112" s="189"/>
      <c r="IK112" s="189"/>
      <c r="IL112" s="189"/>
    </row>
    <row r="113" spans="1:246" s="188" customFormat="1" ht="12.75">
      <c r="A113" s="227"/>
      <c r="B113" s="51" t="s">
        <v>355</v>
      </c>
      <c r="C113" s="212" t="s">
        <v>61</v>
      </c>
      <c r="D113" s="212">
        <v>336</v>
      </c>
      <c r="E113" s="215">
        <v>1</v>
      </c>
      <c r="F113" s="215">
        <v>1</v>
      </c>
      <c r="G113" s="260">
        <f t="shared" si="8"/>
        <v>336</v>
      </c>
      <c r="H113" s="362">
        <v>58100</v>
      </c>
      <c r="I113" s="227"/>
      <c r="J113" s="51" t="s">
        <v>240</v>
      </c>
      <c r="K113" s="215" t="s">
        <v>80</v>
      </c>
      <c r="L113" s="215">
        <v>2</v>
      </c>
      <c r="M113" s="215"/>
      <c r="N113" s="215"/>
      <c r="O113" s="285">
        <f>147+34+58</f>
        <v>239</v>
      </c>
      <c r="P113" s="284">
        <f>1466+592+218+704+354+130+674+1673+615</f>
        <v>6426</v>
      </c>
      <c r="Q113" s="279"/>
      <c r="R113" s="279"/>
      <c r="S113" s="189"/>
      <c r="T113" s="189"/>
      <c r="U113" s="189"/>
      <c r="V113" s="189"/>
      <c r="W113" s="194"/>
      <c r="X113" s="281"/>
      <c r="Y113" s="279"/>
      <c r="Z113" s="279"/>
      <c r="AA113" s="189"/>
      <c r="AB113" s="189"/>
      <c r="AC113" s="189"/>
      <c r="AD113" s="189"/>
      <c r="AE113" s="194"/>
      <c r="AF113" s="281"/>
      <c r="AG113" s="279"/>
      <c r="AH113" s="279"/>
      <c r="AI113" s="189"/>
      <c r="AJ113" s="189"/>
      <c r="AK113" s="189"/>
      <c r="AL113" s="189"/>
      <c r="AM113" s="194"/>
      <c r="AN113" s="281"/>
      <c r="AO113" s="279"/>
      <c r="AP113" s="279"/>
      <c r="AQ113" s="189"/>
      <c r="AR113" s="189"/>
      <c r="AS113" s="189"/>
      <c r="AT113" s="189"/>
      <c r="AU113" s="194"/>
      <c r="AV113" s="281"/>
      <c r="AW113" s="279"/>
      <c r="AX113" s="279"/>
      <c r="AY113" s="189"/>
      <c r="AZ113" s="189"/>
      <c r="BA113" s="189"/>
      <c r="BB113" s="189"/>
      <c r="BC113" s="194"/>
      <c r="BD113" s="281"/>
      <c r="BE113" s="279"/>
      <c r="BF113" s="279"/>
      <c r="BG113" s="189"/>
      <c r="BH113" s="189"/>
      <c r="BI113" s="189"/>
      <c r="BJ113" s="189"/>
      <c r="BK113" s="194"/>
      <c r="BL113" s="281"/>
      <c r="BM113" s="279"/>
      <c r="BN113" s="279"/>
      <c r="BO113" s="189"/>
      <c r="BP113" s="189"/>
      <c r="BQ113" s="189"/>
      <c r="BR113" s="189"/>
      <c r="BS113" s="194"/>
      <c r="BT113" s="281"/>
      <c r="BU113" s="279"/>
      <c r="BV113" s="279"/>
      <c r="BW113" s="189"/>
      <c r="BX113" s="189"/>
      <c r="BY113" s="189"/>
      <c r="BZ113" s="189"/>
      <c r="CA113" s="194"/>
      <c r="CB113" s="281"/>
      <c r="CC113" s="279"/>
      <c r="CD113" s="279"/>
      <c r="CE113" s="189"/>
      <c r="CF113" s="189"/>
      <c r="CG113" s="189"/>
      <c r="CH113" s="189"/>
      <c r="CI113" s="194"/>
      <c r="CJ113" s="281"/>
      <c r="CK113" s="279"/>
      <c r="CL113" s="279"/>
      <c r="CM113" s="189"/>
      <c r="CN113" s="189"/>
      <c r="CO113" s="189"/>
      <c r="CP113" s="189"/>
      <c r="CQ113" s="194"/>
      <c r="CR113" s="281"/>
      <c r="CS113" s="279"/>
      <c r="CT113" s="279"/>
      <c r="CU113" s="189"/>
      <c r="CV113" s="189"/>
      <c r="CW113" s="189"/>
      <c r="CX113" s="189"/>
      <c r="CY113" s="194"/>
      <c r="CZ113" s="281"/>
      <c r="DA113" s="279"/>
      <c r="DB113" s="279"/>
      <c r="DC113" s="189"/>
      <c r="DD113" s="189"/>
      <c r="DE113" s="189"/>
      <c r="DF113" s="189"/>
      <c r="DG113" s="194"/>
      <c r="DH113" s="281"/>
      <c r="DI113" s="279"/>
      <c r="DJ113" s="279"/>
      <c r="DK113" s="189"/>
      <c r="DL113" s="189"/>
      <c r="DM113" s="189"/>
      <c r="DN113" s="189"/>
      <c r="DO113" s="194"/>
      <c r="DP113" s="281"/>
      <c r="DQ113" s="279"/>
      <c r="DR113" s="279"/>
      <c r="DS113" s="189"/>
      <c r="DT113" s="189"/>
      <c r="DU113" s="189"/>
      <c r="DV113" s="189"/>
      <c r="DW113" s="194"/>
      <c r="DX113" s="281"/>
      <c r="DY113" s="279"/>
      <c r="DZ113" s="279"/>
      <c r="EA113" s="189"/>
      <c r="EB113" s="189"/>
      <c r="EC113" s="189"/>
      <c r="ED113" s="189"/>
      <c r="EE113" s="194"/>
      <c r="EF113" s="281"/>
      <c r="EG113" s="279"/>
      <c r="EH113" s="279"/>
      <c r="EI113" s="189"/>
      <c r="EJ113" s="189"/>
      <c r="EK113" s="189"/>
      <c r="EL113" s="189"/>
      <c r="EM113" s="194"/>
      <c r="EN113" s="281"/>
      <c r="EO113" s="279"/>
      <c r="EP113" s="279"/>
      <c r="EQ113" s="189"/>
      <c r="ER113" s="189"/>
      <c r="ES113" s="189"/>
      <c r="ET113" s="189"/>
      <c r="EU113" s="194"/>
      <c r="EV113" s="281"/>
      <c r="EW113" s="279"/>
      <c r="EX113" s="279"/>
      <c r="EY113" s="189"/>
      <c r="EZ113" s="189"/>
      <c r="FA113" s="189"/>
      <c r="FB113" s="189"/>
      <c r="FC113" s="194"/>
      <c r="FD113" s="281"/>
      <c r="FE113" s="279"/>
      <c r="FF113" s="279"/>
      <c r="FG113" s="189"/>
      <c r="FH113" s="189"/>
      <c r="FI113" s="189"/>
      <c r="FJ113" s="189"/>
      <c r="FK113" s="194"/>
      <c r="FL113" s="281"/>
      <c r="FM113" s="279"/>
      <c r="FN113" s="279"/>
      <c r="FO113" s="189"/>
      <c r="FP113" s="189"/>
      <c r="FQ113" s="189"/>
      <c r="FR113" s="189"/>
      <c r="FS113" s="194"/>
      <c r="FT113" s="281"/>
      <c r="FU113" s="279"/>
      <c r="FV113" s="279"/>
      <c r="FW113" s="189"/>
      <c r="FX113" s="189"/>
      <c r="FY113" s="189"/>
      <c r="FZ113" s="189"/>
      <c r="GA113" s="194"/>
      <c r="GB113" s="281"/>
      <c r="GC113" s="279"/>
      <c r="GD113" s="279"/>
      <c r="GE113" s="189"/>
      <c r="GF113" s="189"/>
      <c r="GG113" s="189"/>
      <c r="GH113" s="189"/>
      <c r="GI113" s="194"/>
      <c r="GJ113" s="281"/>
      <c r="GK113" s="279"/>
      <c r="GL113" s="279"/>
      <c r="GM113" s="189"/>
      <c r="GN113" s="189"/>
      <c r="GO113" s="189"/>
      <c r="GP113" s="189"/>
      <c r="GQ113" s="194"/>
      <c r="GR113" s="281"/>
      <c r="GS113" s="279"/>
      <c r="GT113" s="279"/>
      <c r="GU113" s="189"/>
      <c r="GV113" s="189"/>
      <c r="GW113" s="189"/>
      <c r="GX113" s="189"/>
      <c r="GY113" s="194"/>
      <c r="GZ113" s="281"/>
      <c r="HA113" s="279"/>
      <c r="HB113" s="279"/>
      <c r="HC113" s="189"/>
      <c r="HD113" s="189"/>
      <c r="HE113" s="189"/>
      <c r="HF113" s="189"/>
      <c r="HG113" s="194"/>
      <c r="HH113" s="281"/>
      <c r="HI113" s="279"/>
      <c r="HJ113" s="279"/>
      <c r="HK113" s="189"/>
      <c r="HL113" s="189"/>
      <c r="HM113" s="189"/>
      <c r="HN113" s="189"/>
      <c r="HO113" s="194"/>
      <c r="HP113" s="281"/>
      <c r="HQ113" s="279"/>
      <c r="HR113" s="279"/>
      <c r="HS113" s="189"/>
      <c r="HT113" s="189"/>
      <c r="HU113" s="189"/>
      <c r="HV113" s="189"/>
      <c r="HW113" s="194"/>
      <c r="HX113" s="281"/>
      <c r="HY113" s="279"/>
      <c r="HZ113" s="279"/>
      <c r="IA113" s="189"/>
      <c r="IB113" s="189"/>
      <c r="IC113" s="189"/>
      <c r="ID113" s="189"/>
      <c r="IE113" s="194"/>
      <c r="IF113" s="281"/>
      <c r="IG113" s="279"/>
      <c r="IH113" s="279"/>
      <c r="II113" s="189"/>
      <c r="IJ113" s="189"/>
      <c r="IK113" s="189"/>
      <c r="IL113" s="189"/>
    </row>
    <row r="114" spans="1:246" s="188" customFormat="1" ht="12.75">
      <c r="A114" s="227"/>
      <c r="B114" s="51" t="s">
        <v>237</v>
      </c>
      <c r="C114" s="212" t="s">
        <v>61</v>
      </c>
      <c r="D114" s="212">
        <v>3330</v>
      </c>
      <c r="E114" s="215">
        <v>1</v>
      </c>
      <c r="F114" s="215">
        <v>1</v>
      </c>
      <c r="G114" s="260">
        <f t="shared" si="8"/>
        <v>3330</v>
      </c>
      <c r="H114" s="362">
        <v>296554</v>
      </c>
      <c r="I114" s="227"/>
      <c r="J114" s="51" t="s">
        <v>353</v>
      </c>
      <c r="K114" s="212" t="s">
        <v>53</v>
      </c>
      <c r="L114" s="212">
        <v>17.76</v>
      </c>
      <c r="M114" s="215"/>
      <c r="N114" s="215"/>
      <c r="O114" s="261"/>
      <c r="P114" s="260"/>
      <c r="Q114" s="279"/>
      <c r="R114" s="279"/>
      <c r="S114" s="189"/>
      <c r="T114" s="189"/>
      <c r="U114" s="189"/>
      <c r="V114" s="189"/>
      <c r="W114" s="194"/>
      <c r="X114" s="281"/>
      <c r="Y114" s="279"/>
      <c r="Z114" s="279"/>
      <c r="AA114" s="189"/>
      <c r="AB114" s="189"/>
      <c r="AC114" s="189"/>
      <c r="AD114" s="189"/>
      <c r="AE114" s="194"/>
      <c r="AF114" s="281"/>
      <c r="AG114" s="279"/>
      <c r="AH114" s="279"/>
      <c r="AI114" s="189"/>
      <c r="AJ114" s="189"/>
      <c r="AK114" s="189"/>
      <c r="AL114" s="189"/>
      <c r="AM114" s="194"/>
      <c r="AN114" s="281"/>
      <c r="AO114" s="279"/>
      <c r="AP114" s="279"/>
      <c r="AQ114" s="189"/>
      <c r="AR114" s="189"/>
      <c r="AS114" s="189"/>
      <c r="AT114" s="189"/>
      <c r="AU114" s="194"/>
      <c r="AV114" s="281"/>
      <c r="AW114" s="279"/>
      <c r="AX114" s="279"/>
      <c r="AY114" s="189"/>
      <c r="AZ114" s="189"/>
      <c r="BA114" s="189"/>
      <c r="BB114" s="189"/>
      <c r="BC114" s="194"/>
      <c r="BD114" s="281"/>
      <c r="BE114" s="279"/>
      <c r="BF114" s="279"/>
      <c r="BG114" s="189"/>
      <c r="BH114" s="189"/>
      <c r="BI114" s="189"/>
      <c r="BJ114" s="189"/>
      <c r="BK114" s="194"/>
      <c r="BL114" s="281"/>
      <c r="BM114" s="279"/>
      <c r="BN114" s="279"/>
      <c r="BO114" s="189"/>
      <c r="BP114" s="189"/>
      <c r="BQ114" s="189"/>
      <c r="BR114" s="189"/>
      <c r="BS114" s="194"/>
      <c r="BT114" s="281"/>
      <c r="BU114" s="279"/>
      <c r="BV114" s="279"/>
      <c r="BW114" s="189"/>
      <c r="BX114" s="189"/>
      <c r="BY114" s="189"/>
      <c r="BZ114" s="189"/>
      <c r="CA114" s="194"/>
      <c r="CB114" s="281"/>
      <c r="CC114" s="279"/>
      <c r="CD114" s="279"/>
      <c r="CE114" s="189"/>
      <c r="CF114" s="189"/>
      <c r="CG114" s="189"/>
      <c r="CH114" s="189"/>
      <c r="CI114" s="194"/>
      <c r="CJ114" s="281"/>
      <c r="CK114" s="279"/>
      <c r="CL114" s="279"/>
      <c r="CM114" s="189"/>
      <c r="CN114" s="189"/>
      <c r="CO114" s="189"/>
      <c r="CP114" s="189"/>
      <c r="CQ114" s="194"/>
      <c r="CR114" s="281"/>
      <c r="CS114" s="279"/>
      <c r="CT114" s="279"/>
      <c r="CU114" s="189"/>
      <c r="CV114" s="189"/>
      <c r="CW114" s="189"/>
      <c r="CX114" s="189"/>
      <c r="CY114" s="194"/>
      <c r="CZ114" s="281"/>
      <c r="DA114" s="279"/>
      <c r="DB114" s="279"/>
      <c r="DC114" s="189"/>
      <c r="DD114" s="189"/>
      <c r="DE114" s="189"/>
      <c r="DF114" s="189"/>
      <c r="DG114" s="194"/>
      <c r="DH114" s="281"/>
      <c r="DI114" s="279"/>
      <c r="DJ114" s="279"/>
      <c r="DK114" s="189"/>
      <c r="DL114" s="189"/>
      <c r="DM114" s="189"/>
      <c r="DN114" s="189"/>
      <c r="DO114" s="194"/>
      <c r="DP114" s="281"/>
      <c r="DQ114" s="279"/>
      <c r="DR114" s="279"/>
      <c r="DS114" s="189"/>
      <c r="DT114" s="189"/>
      <c r="DU114" s="189"/>
      <c r="DV114" s="189"/>
      <c r="DW114" s="194"/>
      <c r="DX114" s="281"/>
      <c r="DY114" s="279"/>
      <c r="DZ114" s="279"/>
      <c r="EA114" s="189"/>
      <c r="EB114" s="189"/>
      <c r="EC114" s="189"/>
      <c r="ED114" s="189"/>
      <c r="EE114" s="194"/>
      <c r="EF114" s="281"/>
      <c r="EG114" s="279"/>
      <c r="EH114" s="279"/>
      <c r="EI114" s="189"/>
      <c r="EJ114" s="189"/>
      <c r="EK114" s="189"/>
      <c r="EL114" s="189"/>
      <c r="EM114" s="194"/>
      <c r="EN114" s="281"/>
      <c r="EO114" s="279"/>
      <c r="EP114" s="279"/>
      <c r="EQ114" s="189"/>
      <c r="ER114" s="189"/>
      <c r="ES114" s="189"/>
      <c r="ET114" s="189"/>
      <c r="EU114" s="194"/>
      <c r="EV114" s="281"/>
      <c r="EW114" s="279"/>
      <c r="EX114" s="279"/>
      <c r="EY114" s="189"/>
      <c r="EZ114" s="189"/>
      <c r="FA114" s="189"/>
      <c r="FB114" s="189"/>
      <c r="FC114" s="194"/>
      <c r="FD114" s="281"/>
      <c r="FE114" s="279"/>
      <c r="FF114" s="279"/>
      <c r="FG114" s="189"/>
      <c r="FH114" s="189"/>
      <c r="FI114" s="189"/>
      <c r="FJ114" s="189"/>
      <c r="FK114" s="194"/>
      <c r="FL114" s="281"/>
      <c r="FM114" s="279"/>
      <c r="FN114" s="279"/>
      <c r="FO114" s="189"/>
      <c r="FP114" s="189"/>
      <c r="FQ114" s="189"/>
      <c r="FR114" s="189"/>
      <c r="FS114" s="194"/>
      <c r="FT114" s="281"/>
      <c r="FU114" s="279"/>
      <c r="FV114" s="279"/>
      <c r="FW114" s="189"/>
      <c r="FX114" s="189"/>
      <c r="FY114" s="189"/>
      <c r="FZ114" s="189"/>
      <c r="GA114" s="194"/>
      <c r="GB114" s="281"/>
      <c r="GC114" s="279"/>
      <c r="GD114" s="279"/>
      <c r="GE114" s="189"/>
      <c r="GF114" s="189"/>
      <c r="GG114" s="189"/>
      <c r="GH114" s="189"/>
      <c r="GI114" s="194"/>
      <c r="GJ114" s="281"/>
      <c r="GK114" s="279"/>
      <c r="GL114" s="279"/>
      <c r="GM114" s="189"/>
      <c r="GN114" s="189"/>
      <c r="GO114" s="189"/>
      <c r="GP114" s="189"/>
      <c r="GQ114" s="194"/>
      <c r="GR114" s="281"/>
      <c r="GS114" s="279"/>
      <c r="GT114" s="279"/>
      <c r="GU114" s="189"/>
      <c r="GV114" s="189"/>
      <c r="GW114" s="189"/>
      <c r="GX114" s="189"/>
      <c r="GY114" s="194"/>
      <c r="GZ114" s="281"/>
      <c r="HA114" s="279"/>
      <c r="HB114" s="279"/>
      <c r="HC114" s="189"/>
      <c r="HD114" s="189"/>
      <c r="HE114" s="189"/>
      <c r="HF114" s="189"/>
      <c r="HG114" s="194"/>
      <c r="HH114" s="281"/>
      <c r="HI114" s="279"/>
      <c r="HJ114" s="279"/>
      <c r="HK114" s="189"/>
      <c r="HL114" s="189"/>
      <c r="HM114" s="189"/>
      <c r="HN114" s="189"/>
      <c r="HO114" s="194"/>
      <c r="HP114" s="281"/>
      <c r="HQ114" s="279"/>
      <c r="HR114" s="279"/>
      <c r="HS114" s="189"/>
      <c r="HT114" s="189"/>
      <c r="HU114" s="189"/>
      <c r="HV114" s="189"/>
      <c r="HW114" s="194"/>
      <c r="HX114" s="281"/>
      <c r="HY114" s="279"/>
      <c r="HZ114" s="279"/>
      <c r="IA114" s="189"/>
      <c r="IB114" s="189"/>
      <c r="IC114" s="189"/>
      <c r="ID114" s="189"/>
      <c r="IE114" s="194"/>
      <c r="IF114" s="281"/>
      <c r="IG114" s="279"/>
      <c r="IH114" s="279"/>
      <c r="II114" s="189"/>
      <c r="IJ114" s="189"/>
      <c r="IK114" s="189"/>
      <c r="IL114" s="189"/>
    </row>
    <row r="115" spans="1:246" s="188" customFormat="1" ht="12.75" customHeight="1">
      <c r="A115" s="227"/>
      <c r="B115" s="51" t="s">
        <v>638</v>
      </c>
      <c r="C115" s="212" t="s">
        <v>61</v>
      </c>
      <c r="D115" s="215">
        <v>69</v>
      </c>
      <c r="E115" s="215">
        <v>1</v>
      </c>
      <c r="F115" s="215">
        <v>1</v>
      </c>
      <c r="G115" s="260">
        <f t="shared" si="8"/>
        <v>69</v>
      </c>
      <c r="H115" s="362">
        <v>1810</v>
      </c>
      <c r="I115" s="227"/>
      <c r="J115" s="51" t="s">
        <v>354</v>
      </c>
      <c r="K115" s="212" t="s">
        <v>53</v>
      </c>
      <c r="L115" s="212">
        <f>0.25+0.24+0.15</f>
        <v>0.64</v>
      </c>
      <c r="M115" s="215"/>
      <c r="N115" s="215"/>
      <c r="O115" s="261"/>
      <c r="P115" s="260"/>
      <c r="Q115" s="279"/>
      <c r="R115" s="279"/>
      <c r="S115" s="189"/>
      <c r="T115" s="189"/>
      <c r="U115" s="189"/>
      <c r="V115" s="189"/>
      <c r="W115" s="194"/>
      <c r="X115" s="281"/>
      <c r="Y115" s="279"/>
      <c r="Z115" s="279"/>
      <c r="AA115" s="189"/>
      <c r="AB115" s="189"/>
      <c r="AC115" s="189"/>
      <c r="AD115" s="189"/>
      <c r="AE115" s="194"/>
      <c r="AF115" s="281"/>
      <c r="AG115" s="279"/>
      <c r="AH115" s="279"/>
      <c r="AI115" s="189"/>
      <c r="AJ115" s="189"/>
      <c r="AK115" s="189"/>
      <c r="AL115" s="189"/>
      <c r="AM115" s="194"/>
      <c r="AN115" s="281"/>
      <c r="AO115" s="279"/>
      <c r="AP115" s="279"/>
      <c r="AQ115" s="189"/>
      <c r="AR115" s="189"/>
      <c r="AS115" s="189"/>
      <c r="AT115" s="189"/>
      <c r="AU115" s="194"/>
      <c r="AV115" s="281"/>
      <c r="AW115" s="279"/>
      <c r="AX115" s="279"/>
      <c r="AY115" s="189"/>
      <c r="AZ115" s="189"/>
      <c r="BA115" s="189"/>
      <c r="BB115" s="189"/>
      <c r="BC115" s="194"/>
      <c r="BD115" s="281"/>
      <c r="BE115" s="279"/>
      <c r="BF115" s="279"/>
      <c r="BG115" s="189"/>
      <c r="BH115" s="189"/>
      <c r="BI115" s="189"/>
      <c r="BJ115" s="189"/>
      <c r="BK115" s="194"/>
      <c r="BL115" s="281"/>
      <c r="BM115" s="279"/>
      <c r="BN115" s="279"/>
      <c r="BO115" s="189"/>
      <c r="BP115" s="189"/>
      <c r="BQ115" s="189"/>
      <c r="BR115" s="189"/>
      <c r="BS115" s="194"/>
      <c r="BT115" s="281"/>
      <c r="BU115" s="279"/>
      <c r="BV115" s="279"/>
      <c r="BW115" s="189"/>
      <c r="BX115" s="189"/>
      <c r="BY115" s="189"/>
      <c r="BZ115" s="189"/>
      <c r="CA115" s="194"/>
      <c r="CB115" s="281"/>
      <c r="CC115" s="279"/>
      <c r="CD115" s="279"/>
      <c r="CE115" s="189"/>
      <c r="CF115" s="189"/>
      <c r="CG115" s="189"/>
      <c r="CH115" s="189"/>
      <c r="CI115" s="194"/>
      <c r="CJ115" s="281"/>
      <c r="CK115" s="279"/>
      <c r="CL115" s="279"/>
      <c r="CM115" s="189"/>
      <c r="CN115" s="189"/>
      <c r="CO115" s="189"/>
      <c r="CP115" s="189"/>
      <c r="CQ115" s="194"/>
      <c r="CR115" s="281"/>
      <c r="CS115" s="279"/>
      <c r="CT115" s="279"/>
      <c r="CU115" s="189"/>
      <c r="CV115" s="189"/>
      <c r="CW115" s="189"/>
      <c r="CX115" s="189"/>
      <c r="CY115" s="194"/>
      <c r="CZ115" s="281"/>
      <c r="DA115" s="279"/>
      <c r="DB115" s="279"/>
      <c r="DC115" s="189"/>
      <c r="DD115" s="189"/>
      <c r="DE115" s="189"/>
      <c r="DF115" s="189"/>
      <c r="DG115" s="194"/>
      <c r="DH115" s="281"/>
      <c r="DI115" s="279"/>
      <c r="DJ115" s="279"/>
      <c r="DK115" s="189"/>
      <c r="DL115" s="189"/>
      <c r="DM115" s="189"/>
      <c r="DN115" s="189"/>
      <c r="DO115" s="194"/>
      <c r="DP115" s="281"/>
      <c r="DQ115" s="279"/>
      <c r="DR115" s="279"/>
      <c r="DS115" s="189"/>
      <c r="DT115" s="189"/>
      <c r="DU115" s="189"/>
      <c r="DV115" s="189"/>
      <c r="DW115" s="194"/>
      <c r="DX115" s="281"/>
      <c r="DY115" s="279"/>
      <c r="DZ115" s="279"/>
      <c r="EA115" s="189"/>
      <c r="EB115" s="189"/>
      <c r="EC115" s="189"/>
      <c r="ED115" s="189"/>
      <c r="EE115" s="194"/>
      <c r="EF115" s="281"/>
      <c r="EG115" s="279"/>
      <c r="EH115" s="279"/>
      <c r="EI115" s="189"/>
      <c r="EJ115" s="189"/>
      <c r="EK115" s="189"/>
      <c r="EL115" s="189"/>
      <c r="EM115" s="194"/>
      <c r="EN115" s="281"/>
      <c r="EO115" s="279"/>
      <c r="EP115" s="279"/>
      <c r="EQ115" s="189"/>
      <c r="ER115" s="189"/>
      <c r="ES115" s="189"/>
      <c r="ET115" s="189"/>
      <c r="EU115" s="194"/>
      <c r="EV115" s="281"/>
      <c r="EW115" s="279"/>
      <c r="EX115" s="279"/>
      <c r="EY115" s="189"/>
      <c r="EZ115" s="189"/>
      <c r="FA115" s="189"/>
      <c r="FB115" s="189"/>
      <c r="FC115" s="194"/>
      <c r="FD115" s="281"/>
      <c r="FE115" s="279"/>
      <c r="FF115" s="279"/>
      <c r="FG115" s="189"/>
      <c r="FH115" s="189"/>
      <c r="FI115" s="189"/>
      <c r="FJ115" s="189"/>
      <c r="FK115" s="194"/>
      <c r="FL115" s="281"/>
      <c r="FM115" s="279"/>
      <c r="FN115" s="279"/>
      <c r="FO115" s="189"/>
      <c r="FP115" s="189"/>
      <c r="FQ115" s="189"/>
      <c r="FR115" s="189"/>
      <c r="FS115" s="194"/>
      <c r="FT115" s="281"/>
      <c r="FU115" s="279"/>
      <c r="FV115" s="279"/>
      <c r="FW115" s="189"/>
      <c r="FX115" s="189"/>
      <c r="FY115" s="189"/>
      <c r="FZ115" s="189"/>
      <c r="GA115" s="194"/>
      <c r="GB115" s="281"/>
      <c r="GC115" s="279"/>
      <c r="GD115" s="279"/>
      <c r="GE115" s="189"/>
      <c r="GF115" s="189"/>
      <c r="GG115" s="189"/>
      <c r="GH115" s="189"/>
      <c r="GI115" s="194"/>
      <c r="GJ115" s="281"/>
      <c r="GK115" s="279"/>
      <c r="GL115" s="279"/>
      <c r="GM115" s="189"/>
      <c r="GN115" s="189"/>
      <c r="GO115" s="189"/>
      <c r="GP115" s="189"/>
      <c r="GQ115" s="194"/>
      <c r="GR115" s="281"/>
      <c r="GS115" s="279"/>
      <c r="GT115" s="279"/>
      <c r="GU115" s="189"/>
      <c r="GV115" s="189"/>
      <c r="GW115" s="189"/>
      <c r="GX115" s="189"/>
      <c r="GY115" s="194"/>
      <c r="GZ115" s="281"/>
      <c r="HA115" s="279"/>
      <c r="HB115" s="279"/>
      <c r="HC115" s="189"/>
      <c r="HD115" s="189"/>
      <c r="HE115" s="189"/>
      <c r="HF115" s="189"/>
      <c r="HG115" s="194"/>
      <c r="HH115" s="281"/>
      <c r="HI115" s="279"/>
      <c r="HJ115" s="279"/>
      <c r="HK115" s="189"/>
      <c r="HL115" s="189"/>
      <c r="HM115" s="189"/>
      <c r="HN115" s="189"/>
      <c r="HO115" s="194"/>
      <c r="HP115" s="281"/>
      <c r="HQ115" s="279"/>
      <c r="HR115" s="279"/>
      <c r="HS115" s="189"/>
      <c r="HT115" s="189"/>
      <c r="HU115" s="189"/>
      <c r="HV115" s="189"/>
      <c r="HW115" s="194"/>
      <c r="HX115" s="281"/>
      <c r="HY115" s="279"/>
      <c r="HZ115" s="279"/>
      <c r="IA115" s="189"/>
      <c r="IB115" s="189"/>
      <c r="IC115" s="189"/>
      <c r="ID115" s="189"/>
      <c r="IE115" s="194"/>
      <c r="IF115" s="281"/>
      <c r="IG115" s="279"/>
      <c r="IH115" s="279"/>
      <c r="II115" s="189"/>
      <c r="IJ115" s="189"/>
      <c r="IK115" s="189"/>
      <c r="IL115" s="189"/>
    </row>
    <row r="116" spans="1:246" s="188" customFormat="1" ht="12.75" customHeight="1">
      <c r="A116" s="227"/>
      <c r="B116" s="51" t="s">
        <v>637</v>
      </c>
      <c r="C116" s="212" t="s">
        <v>61</v>
      </c>
      <c r="D116" s="215">
        <v>52</v>
      </c>
      <c r="E116" s="215">
        <v>1</v>
      </c>
      <c r="F116" s="215">
        <v>1</v>
      </c>
      <c r="G116" s="260">
        <f t="shared" si="8"/>
        <v>52</v>
      </c>
      <c r="H116" s="362">
        <v>1716</v>
      </c>
      <c r="I116" s="227">
        <v>2</v>
      </c>
      <c r="J116" s="47" t="s">
        <v>228</v>
      </c>
      <c r="K116" s="212"/>
      <c r="L116" s="212"/>
      <c r="M116" s="215"/>
      <c r="N116" s="215"/>
      <c r="O116" s="207"/>
      <c r="P116" s="207">
        <f>P118+P119+P117+P121</f>
        <v>332000</v>
      </c>
      <c r="Q116" s="279"/>
      <c r="R116" s="279"/>
      <c r="S116" s="189"/>
      <c r="T116" s="189"/>
      <c r="U116" s="189"/>
      <c r="V116" s="189"/>
      <c r="W116" s="194"/>
      <c r="X116" s="281"/>
      <c r="Y116" s="279"/>
      <c r="Z116" s="279"/>
      <c r="AA116" s="189"/>
      <c r="AB116" s="189"/>
      <c r="AC116" s="189"/>
      <c r="AD116" s="189"/>
      <c r="AE116" s="194"/>
      <c r="AF116" s="281"/>
      <c r="AG116" s="279"/>
      <c r="AH116" s="279"/>
      <c r="AI116" s="189"/>
      <c r="AJ116" s="189"/>
      <c r="AK116" s="189"/>
      <c r="AL116" s="189"/>
      <c r="AM116" s="194"/>
      <c r="AN116" s="281"/>
      <c r="AO116" s="279"/>
      <c r="AP116" s="279"/>
      <c r="AQ116" s="189"/>
      <c r="AR116" s="189"/>
      <c r="AS116" s="189"/>
      <c r="AT116" s="189"/>
      <c r="AU116" s="194"/>
      <c r="AV116" s="281"/>
      <c r="AW116" s="279"/>
      <c r="AX116" s="279"/>
      <c r="AY116" s="189"/>
      <c r="AZ116" s="189"/>
      <c r="BA116" s="189"/>
      <c r="BB116" s="189"/>
      <c r="BC116" s="194"/>
      <c r="BD116" s="281"/>
      <c r="BE116" s="279"/>
      <c r="BF116" s="279"/>
      <c r="BG116" s="189"/>
      <c r="BH116" s="189"/>
      <c r="BI116" s="189"/>
      <c r="BJ116" s="189"/>
      <c r="BK116" s="194"/>
      <c r="BL116" s="281"/>
      <c r="BM116" s="279"/>
      <c r="BN116" s="279"/>
      <c r="BO116" s="189"/>
      <c r="BP116" s="189"/>
      <c r="BQ116" s="189"/>
      <c r="BR116" s="189"/>
      <c r="BS116" s="194"/>
      <c r="BT116" s="281"/>
      <c r="BU116" s="279"/>
      <c r="BV116" s="279"/>
      <c r="BW116" s="189"/>
      <c r="BX116" s="189"/>
      <c r="BY116" s="189"/>
      <c r="BZ116" s="189"/>
      <c r="CA116" s="194"/>
      <c r="CB116" s="281"/>
      <c r="CC116" s="279"/>
      <c r="CD116" s="279"/>
      <c r="CE116" s="189"/>
      <c r="CF116" s="189"/>
      <c r="CG116" s="189"/>
      <c r="CH116" s="189"/>
      <c r="CI116" s="194"/>
      <c r="CJ116" s="281"/>
      <c r="CK116" s="279"/>
      <c r="CL116" s="279"/>
      <c r="CM116" s="189"/>
      <c r="CN116" s="189"/>
      <c r="CO116" s="189"/>
      <c r="CP116" s="189"/>
      <c r="CQ116" s="194"/>
      <c r="CR116" s="281"/>
      <c r="CS116" s="279"/>
      <c r="CT116" s="279"/>
      <c r="CU116" s="189"/>
      <c r="CV116" s="189"/>
      <c r="CW116" s="189"/>
      <c r="CX116" s="189"/>
      <c r="CY116" s="194"/>
      <c r="CZ116" s="281"/>
      <c r="DA116" s="279"/>
      <c r="DB116" s="279"/>
      <c r="DC116" s="189"/>
      <c r="DD116" s="189"/>
      <c r="DE116" s="189"/>
      <c r="DF116" s="189"/>
      <c r="DG116" s="194"/>
      <c r="DH116" s="281"/>
      <c r="DI116" s="279"/>
      <c r="DJ116" s="279"/>
      <c r="DK116" s="189"/>
      <c r="DL116" s="189"/>
      <c r="DM116" s="189"/>
      <c r="DN116" s="189"/>
      <c r="DO116" s="194"/>
      <c r="DP116" s="281"/>
      <c r="DQ116" s="279"/>
      <c r="DR116" s="279"/>
      <c r="DS116" s="189"/>
      <c r="DT116" s="189"/>
      <c r="DU116" s="189"/>
      <c r="DV116" s="189"/>
      <c r="DW116" s="194"/>
      <c r="DX116" s="281"/>
      <c r="DY116" s="279"/>
      <c r="DZ116" s="279"/>
      <c r="EA116" s="189"/>
      <c r="EB116" s="189"/>
      <c r="EC116" s="189"/>
      <c r="ED116" s="189"/>
      <c r="EE116" s="194"/>
      <c r="EF116" s="281"/>
      <c r="EG116" s="279"/>
      <c r="EH116" s="279"/>
      <c r="EI116" s="189"/>
      <c r="EJ116" s="189"/>
      <c r="EK116" s="189"/>
      <c r="EL116" s="189"/>
      <c r="EM116" s="194"/>
      <c r="EN116" s="281"/>
      <c r="EO116" s="279"/>
      <c r="EP116" s="279"/>
      <c r="EQ116" s="189"/>
      <c r="ER116" s="189"/>
      <c r="ES116" s="189"/>
      <c r="ET116" s="189"/>
      <c r="EU116" s="194"/>
      <c r="EV116" s="281"/>
      <c r="EW116" s="279"/>
      <c r="EX116" s="279"/>
      <c r="EY116" s="189"/>
      <c r="EZ116" s="189"/>
      <c r="FA116" s="189"/>
      <c r="FB116" s="189"/>
      <c r="FC116" s="194"/>
      <c r="FD116" s="281"/>
      <c r="FE116" s="279"/>
      <c r="FF116" s="279"/>
      <c r="FG116" s="189"/>
      <c r="FH116" s="189"/>
      <c r="FI116" s="189"/>
      <c r="FJ116" s="189"/>
      <c r="FK116" s="194"/>
      <c r="FL116" s="281"/>
      <c r="FM116" s="279"/>
      <c r="FN116" s="279"/>
      <c r="FO116" s="189"/>
      <c r="FP116" s="189"/>
      <c r="FQ116" s="189"/>
      <c r="FR116" s="189"/>
      <c r="FS116" s="194"/>
      <c r="FT116" s="281"/>
      <c r="FU116" s="279"/>
      <c r="FV116" s="279"/>
      <c r="FW116" s="189"/>
      <c r="FX116" s="189"/>
      <c r="FY116" s="189"/>
      <c r="FZ116" s="189"/>
      <c r="GA116" s="194"/>
      <c r="GB116" s="281"/>
      <c r="GC116" s="279"/>
      <c r="GD116" s="279"/>
      <c r="GE116" s="189"/>
      <c r="GF116" s="189"/>
      <c r="GG116" s="189"/>
      <c r="GH116" s="189"/>
      <c r="GI116" s="194"/>
      <c r="GJ116" s="281"/>
      <c r="GK116" s="279"/>
      <c r="GL116" s="279"/>
      <c r="GM116" s="189"/>
      <c r="GN116" s="189"/>
      <c r="GO116" s="189"/>
      <c r="GP116" s="189"/>
      <c r="GQ116" s="194"/>
      <c r="GR116" s="281"/>
      <c r="GS116" s="279"/>
      <c r="GT116" s="279"/>
      <c r="GU116" s="189"/>
      <c r="GV116" s="189"/>
      <c r="GW116" s="189"/>
      <c r="GX116" s="189"/>
      <c r="GY116" s="194"/>
      <c r="GZ116" s="281"/>
      <c r="HA116" s="279"/>
      <c r="HB116" s="279"/>
      <c r="HC116" s="189"/>
      <c r="HD116" s="189"/>
      <c r="HE116" s="189"/>
      <c r="HF116" s="189"/>
      <c r="HG116" s="194"/>
      <c r="HH116" s="281"/>
      <c r="HI116" s="279"/>
      <c r="HJ116" s="279"/>
      <c r="HK116" s="189"/>
      <c r="HL116" s="189"/>
      <c r="HM116" s="189"/>
      <c r="HN116" s="189"/>
      <c r="HO116" s="194"/>
      <c r="HP116" s="281"/>
      <c r="HQ116" s="279"/>
      <c r="HR116" s="279"/>
      <c r="HS116" s="189"/>
      <c r="HT116" s="189"/>
      <c r="HU116" s="189"/>
      <c r="HV116" s="189"/>
      <c r="HW116" s="194"/>
      <c r="HX116" s="281"/>
      <c r="HY116" s="279"/>
      <c r="HZ116" s="279"/>
      <c r="IA116" s="189"/>
      <c r="IB116" s="189"/>
      <c r="IC116" s="189"/>
      <c r="ID116" s="189"/>
      <c r="IE116" s="194"/>
      <c r="IF116" s="281"/>
      <c r="IG116" s="279"/>
      <c r="IH116" s="279"/>
      <c r="II116" s="189"/>
      <c r="IJ116" s="189"/>
      <c r="IK116" s="189"/>
      <c r="IL116" s="189"/>
    </row>
    <row r="117" spans="1:246" s="188" customFormat="1" ht="12.75">
      <c r="A117" s="227"/>
      <c r="B117" s="51" t="s">
        <v>353</v>
      </c>
      <c r="C117" s="212" t="s">
        <v>61</v>
      </c>
      <c r="D117" s="212">
        <v>102</v>
      </c>
      <c r="E117" s="215">
        <v>1</v>
      </c>
      <c r="F117" s="215">
        <v>1</v>
      </c>
      <c r="G117" s="260">
        <f t="shared" si="8"/>
        <v>102</v>
      </c>
      <c r="H117" s="362">
        <v>15306</v>
      </c>
      <c r="I117" s="227">
        <v>1</v>
      </c>
      <c r="J117" s="283" t="s">
        <v>557</v>
      </c>
      <c r="K117" s="212"/>
      <c r="L117" s="212"/>
      <c r="M117" s="215"/>
      <c r="N117" s="215"/>
      <c r="O117" s="207"/>
      <c r="P117" s="218">
        <v>3000</v>
      </c>
      <c r="Q117" s="279"/>
      <c r="R117" s="279"/>
      <c r="S117" s="189"/>
      <c r="T117" s="189"/>
      <c r="U117" s="189"/>
      <c r="V117" s="189"/>
      <c r="W117" s="194"/>
      <c r="X117" s="281"/>
      <c r="Y117" s="279"/>
      <c r="Z117" s="279"/>
      <c r="AA117" s="189"/>
      <c r="AB117" s="189"/>
      <c r="AC117" s="189"/>
      <c r="AD117" s="189"/>
      <c r="AE117" s="194"/>
      <c r="AF117" s="281"/>
      <c r="AG117" s="279"/>
      <c r="AH117" s="279"/>
      <c r="AI117" s="189"/>
      <c r="AJ117" s="189"/>
      <c r="AK117" s="189"/>
      <c r="AL117" s="189"/>
      <c r="AM117" s="194"/>
      <c r="AN117" s="281"/>
      <c r="AO117" s="279"/>
      <c r="AP117" s="279"/>
      <c r="AQ117" s="189"/>
      <c r="AR117" s="189"/>
      <c r="AS117" s="189"/>
      <c r="AT117" s="189"/>
      <c r="AU117" s="194"/>
      <c r="AV117" s="281"/>
      <c r="AW117" s="279"/>
      <c r="AX117" s="279"/>
      <c r="AY117" s="189"/>
      <c r="AZ117" s="189"/>
      <c r="BA117" s="189"/>
      <c r="BB117" s="189"/>
      <c r="BC117" s="194"/>
      <c r="BD117" s="281"/>
      <c r="BE117" s="279"/>
      <c r="BF117" s="279"/>
      <c r="BG117" s="189"/>
      <c r="BH117" s="189"/>
      <c r="BI117" s="189"/>
      <c r="BJ117" s="189"/>
      <c r="BK117" s="194"/>
      <c r="BL117" s="281"/>
      <c r="BM117" s="279"/>
      <c r="BN117" s="279"/>
      <c r="BO117" s="189"/>
      <c r="BP117" s="189"/>
      <c r="BQ117" s="189"/>
      <c r="BR117" s="189"/>
      <c r="BS117" s="194"/>
      <c r="BT117" s="281"/>
      <c r="BU117" s="279"/>
      <c r="BV117" s="279"/>
      <c r="BW117" s="189"/>
      <c r="BX117" s="189"/>
      <c r="BY117" s="189"/>
      <c r="BZ117" s="189"/>
      <c r="CA117" s="194"/>
      <c r="CB117" s="281"/>
      <c r="CC117" s="279"/>
      <c r="CD117" s="279"/>
      <c r="CE117" s="189"/>
      <c r="CF117" s="189"/>
      <c r="CG117" s="189"/>
      <c r="CH117" s="189"/>
      <c r="CI117" s="194"/>
      <c r="CJ117" s="281"/>
      <c r="CK117" s="279"/>
      <c r="CL117" s="279"/>
      <c r="CM117" s="189"/>
      <c r="CN117" s="189"/>
      <c r="CO117" s="189"/>
      <c r="CP117" s="189"/>
      <c r="CQ117" s="194"/>
      <c r="CR117" s="281"/>
      <c r="CS117" s="279"/>
      <c r="CT117" s="279"/>
      <c r="CU117" s="189"/>
      <c r="CV117" s="189"/>
      <c r="CW117" s="189"/>
      <c r="CX117" s="189"/>
      <c r="CY117" s="194"/>
      <c r="CZ117" s="281"/>
      <c r="DA117" s="279"/>
      <c r="DB117" s="279"/>
      <c r="DC117" s="189"/>
      <c r="DD117" s="189"/>
      <c r="DE117" s="189"/>
      <c r="DF117" s="189"/>
      <c r="DG117" s="194"/>
      <c r="DH117" s="281"/>
      <c r="DI117" s="279"/>
      <c r="DJ117" s="279"/>
      <c r="DK117" s="189"/>
      <c r="DL117" s="189"/>
      <c r="DM117" s="189"/>
      <c r="DN117" s="189"/>
      <c r="DO117" s="194"/>
      <c r="DP117" s="281"/>
      <c r="DQ117" s="279"/>
      <c r="DR117" s="279"/>
      <c r="DS117" s="189"/>
      <c r="DT117" s="189"/>
      <c r="DU117" s="189"/>
      <c r="DV117" s="189"/>
      <c r="DW117" s="194"/>
      <c r="DX117" s="281"/>
      <c r="DY117" s="279"/>
      <c r="DZ117" s="279"/>
      <c r="EA117" s="189"/>
      <c r="EB117" s="189"/>
      <c r="EC117" s="189"/>
      <c r="ED117" s="189"/>
      <c r="EE117" s="194"/>
      <c r="EF117" s="281"/>
      <c r="EG117" s="279"/>
      <c r="EH117" s="279"/>
      <c r="EI117" s="189"/>
      <c r="EJ117" s="189"/>
      <c r="EK117" s="189"/>
      <c r="EL117" s="189"/>
      <c r="EM117" s="194"/>
      <c r="EN117" s="281"/>
      <c r="EO117" s="279"/>
      <c r="EP117" s="279"/>
      <c r="EQ117" s="189"/>
      <c r="ER117" s="189"/>
      <c r="ES117" s="189"/>
      <c r="ET117" s="189"/>
      <c r="EU117" s="194"/>
      <c r="EV117" s="281"/>
      <c r="EW117" s="279"/>
      <c r="EX117" s="279"/>
      <c r="EY117" s="189"/>
      <c r="EZ117" s="189"/>
      <c r="FA117" s="189"/>
      <c r="FB117" s="189"/>
      <c r="FC117" s="194"/>
      <c r="FD117" s="281"/>
      <c r="FE117" s="279"/>
      <c r="FF117" s="279"/>
      <c r="FG117" s="189"/>
      <c r="FH117" s="189"/>
      <c r="FI117" s="189"/>
      <c r="FJ117" s="189"/>
      <c r="FK117" s="194"/>
      <c r="FL117" s="281"/>
      <c r="FM117" s="279"/>
      <c r="FN117" s="279"/>
      <c r="FO117" s="189"/>
      <c r="FP117" s="189"/>
      <c r="FQ117" s="189"/>
      <c r="FR117" s="189"/>
      <c r="FS117" s="194"/>
      <c r="FT117" s="281"/>
      <c r="FU117" s="279"/>
      <c r="FV117" s="279"/>
      <c r="FW117" s="189"/>
      <c r="FX117" s="189"/>
      <c r="FY117" s="189"/>
      <c r="FZ117" s="189"/>
      <c r="GA117" s="194"/>
      <c r="GB117" s="281"/>
      <c r="GC117" s="279"/>
      <c r="GD117" s="279"/>
      <c r="GE117" s="189"/>
      <c r="GF117" s="189"/>
      <c r="GG117" s="189"/>
      <c r="GH117" s="189"/>
      <c r="GI117" s="194"/>
      <c r="GJ117" s="281"/>
      <c r="GK117" s="279"/>
      <c r="GL117" s="279"/>
      <c r="GM117" s="189"/>
      <c r="GN117" s="189"/>
      <c r="GO117" s="189"/>
      <c r="GP117" s="189"/>
      <c r="GQ117" s="194"/>
      <c r="GR117" s="281"/>
      <c r="GS117" s="279"/>
      <c r="GT117" s="279"/>
      <c r="GU117" s="189"/>
      <c r="GV117" s="189"/>
      <c r="GW117" s="189"/>
      <c r="GX117" s="189"/>
      <c r="GY117" s="194"/>
      <c r="GZ117" s="281"/>
      <c r="HA117" s="279"/>
      <c r="HB117" s="279"/>
      <c r="HC117" s="189"/>
      <c r="HD117" s="189"/>
      <c r="HE117" s="189"/>
      <c r="HF117" s="189"/>
      <c r="HG117" s="194"/>
      <c r="HH117" s="281"/>
      <c r="HI117" s="279"/>
      <c r="HJ117" s="279"/>
      <c r="HK117" s="189"/>
      <c r="HL117" s="189"/>
      <c r="HM117" s="189"/>
      <c r="HN117" s="189"/>
      <c r="HO117" s="194"/>
      <c r="HP117" s="281"/>
      <c r="HQ117" s="279"/>
      <c r="HR117" s="279"/>
      <c r="HS117" s="189"/>
      <c r="HT117" s="189"/>
      <c r="HU117" s="189"/>
      <c r="HV117" s="189"/>
      <c r="HW117" s="194"/>
      <c r="HX117" s="281"/>
      <c r="HY117" s="279"/>
      <c r="HZ117" s="279"/>
      <c r="IA117" s="189"/>
      <c r="IB117" s="189"/>
      <c r="IC117" s="189"/>
      <c r="ID117" s="189"/>
      <c r="IE117" s="194"/>
      <c r="IF117" s="281"/>
      <c r="IG117" s="279"/>
      <c r="IH117" s="279"/>
      <c r="II117" s="189"/>
      <c r="IJ117" s="189"/>
      <c r="IK117" s="189"/>
      <c r="IL117" s="189"/>
    </row>
    <row r="118" spans="1:246" s="188" customFormat="1" ht="12.75">
      <c r="A118" s="227"/>
      <c r="B118" s="51" t="s">
        <v>354</v>
      </c>
      <c r="C118" s="212" t="s">
        <v>61</v>
      </c>
      <c r="D118" s="212">
        <v>213</v>
      </c>
      <c r="E118" s="215">
        <v>1</v>
      </c>
      <c r="F118" s="215">
        <v>1</v>
      </c>
      <c r="G118" s="260">
        <f t="shared" si="8"/>
        <v>213</v>
      </c>
      <c r="H118" s="362">
        <v>6345</v>
      </c>
      <c r="I118" s="227">
        <v>2</v>
      </c>
      <c r="J118" s="244" t="s">
        <v>67</v>
      </c>
      <c r="K118" s="212"/>
      <c r="L118" s="212"/>
      <c r="M118" s="215"/>
      <c r="N118" s="215"/>
      <c r="O118" s="260"/>
      <c r="P118" s="223">
        <v>150000</v>
      </c>
      <c r="Q118" s="279"/>
      <c r="R118" s="279"/>
      <c r="S118" s="189"/>
      <c r="T118" s="189"/>
      <c r="U118" s="189"/>
      <c r="V118" s="189"/>
      <c r="W118" s="194"/>
      <c r="X118" s="281"/>
      <c r="Y118" s="279"/>
      <c r="Z118" s="279"/>
      <c r="AA118" s="189"/>
      <c r="AB118" s="189"/>
      <c r="AC118" s="189"/>
      <c r="AD118" s="189"/>
      <c r="AE118" s="194"/>
      <c r="AF118" s="281"/>
      <c r="AG118" s="279"/>
      <c r="AH118" s="279"/>
      <c r="AI118" s="189"/>
      <c r="AJ118" s="189"/>
      <c r="AK118" s="189"/>
      <c r="AL118" s="189"/>
      <c r="AM118" s="194"/>
      <c r="AN118" s="281"/>
      <c r="AO118" s="279"/>
      <c r="AP118" s="279"/>
      <c r="AQ118" s="189"/>
      <c r="AR118" s="189"/>
      <c r="AS118" s="189"/>
      <c r="AT118" s="189"/>
      <c r="AU118" s="194"/>
      <c r="AV118" s="281"/>
      <c r="AW118" s="279"/>
      <c r="AX118" s="279"/>
      <c r="AY118" s="189"/>
      <c r="AZ118" s="189"/>
      <c r="BA118" s="189"/>
      <c r="BB118" s="189"/>
      <c r="BC118" s="194"/>
      <c r="BD118" s="281"/>
      <c r="BE118" s="279"/>
      <c r="BF118" s="279"/>
      <c r="BG118" s="189"/>
      <c r="BH118" s="189"/>
      <c r="BI118" s="189"/>
      <c r="BJ118" s="189"/>
      <c r="BK118" s="194"/>
      <c r="BL118" s="281"/>
      <c r="BM118" s="279"/>
      <c r="BN118" s="279"/>
      <c r="BO118" s="189"/>
      <c r="BP118" s="189"/>
      <c r="BQ118" s="189"/>
      <c r="BR118" s="189"/>
      <c r="BS118" s="194"/>
      <c r="BT118" s="281"/>
      <c r="BU118" s="279"/>
      <c r="BV118" s="279"/>
      <c r="BW118" s="189"/>
      <c r="BX118" s="189"/>
      <c r="BY118" s="189"/>
      <c r="BZ118" s="189"/>
      <c r="CA118" s="194"/>
      <c r="CB118" s="281"/>
      <c r="CC118" s="279"/>
      <c r="CD118" s="279"/>
      <c r="CE118" s="189"/>
      <c r="CF118" s="189"/>
      <c r="CG118" s="189"/>
      <c r="CH118" s="189"/>
      <c r="CI118" s="194"/>
      <c r="CJ118" s="281"/>
      <c r="CK118" s="279"/>
      <c r="CL118" s="279"/>
      <c r="CM118" s="189"/>
      <c r="CN118" s="189"/>
      <c r="CO118" s="189"/>
      <c r="CP118" s="189"/>
      <c r="CQ118" s="194"/>
      <c r="CR118" s="281"/>
      <c r="CS118" s="279"/>
      <c r="CT118" s="279"/>
      <c r="CU118" s="189"/>
      <c r="CV118" s="189"/>
      <c r="CW118" s="189"/>
      <c r="CX118" s="189"/>
      <c r="CY118" s="194"/>
      <c r="CZ118" s="281"/>
      <c r="DA118" s="279"/>
      <c r="DB118" s="279"/>
      <c r="DC118" s="189"/>
      <c r="DD118" s="189"/>
      <c r="DE118" s="189"/>
      <c r="DF118" s="189"/>
      <c r="DG118" s="194"/>
      <c r="DH118" s="281"/>
      <c r="DI118" s="279"/>
      <c r="DJ118" s="279"/>
      <c r="DK118" s="189"/>
      <c r="DL118" s="189"/>
      <c r="DM118" s="189"/>
      <c r="DN118" s="189"/>
      <c r="DO118" s="194"/>
      <c r="DP118" s="281"/>
      <c r="DQ118" s="279"/>
      <c r="DR118" s="279"/>
      <c r="DS118" s="189"/>
      <c r="DT118" s="189"/>
      <c r="DU118" s="189"/>
      <c r="DV118" s="189"/>
      <c r="DW118" s="194"/>
      <c r="DX118" s="281"/>
      <c r="DY118" s="279"/>
      <c r="DZ118" s="279"/>
      <c r="EA118" s="189"/>
      <c r="EB118" s="189"/>
      <c r="EC118" s="189"/>
      <c r="ED118" s="189"/>
      <c r="EE118" s="194"/>
      <c r="EF118" s="281"/>
      <c r="EG118" s="279"/>
      <c r="EH118" s="279"/>
      <c r="EI118" s="189"/>
      <c r="EJ118" s="189"/>
      <c r="EK118" s="189"/>
      <c r="EL118" s="189"/>
      <c r="EM118" s="194"/>
      <c r="EN118" s="281"/>
      <c r="EO118" s="279"/>
      <c r="EP118" s="279"/>
      <c r="EQ118" s="189"/>
      <c r="ER118" s="189"/>
      <c r="ES118" s="189"/>
      <c r="ET118" s="189"/>
      <c r="EU118" s="194"/>
      <c r="EV118" s="281"/>
      <c r="EW118" s="279"/>
      <c r="EX118" s="279"/>
      <c r="EY118" s="189"/>
      <c r="EZ118" s="189"/>
      <c r="FA118" s="189"/>
      <c r="FB118" s="189"/>
      <c r="FC118" s="194"/>
      <c r="FD118" s="281"/>
      <c r="FE118" s="279"/>
      <c r="FF118" s="279"/>
      <c r="FG118" s="189"/>
      <c r="FH118" s="189"/>
      <c r="FI118" s="189"/>
      <c r="FJ118" s="189"/>
      <c r="FK118" s="194"/>
      <c r="FL118" s="281"/>
      <c r="FM118" s="279"/>
      <c r="FN118" s="279"/>
      <c r="FO118" s="189"/>
      <c r="FP118" s="189"/>
      <c r="FQ118" s="189"/>
      <c r="FR118" s="189"/>
      <c r="FS118" s="194"/>
      <c r="FT118" s="281"/>
      <c r="FU118" s="279"/>
      <c r="FV118" s="279"/>
      <c r="FW118" s="189"/>
      <c r="FX118" s="189"/>
      <c r="FY118" s="189"/>
      <c r="FZ118" s="189"/>
      <c r="GA118" s="194"/>
      <c r="GB118" s="281"/>
      <c r="GC118" s="279"/>
      <c r="GD118" s="279"/>
      <c r="GE118" s="189"/>
      <c r="GF118" s="189"/>
      <c r="GG118" s="189"/>
      <c r="GH118" s="189"/>
      <c r="GI118" s="194"/>
      <c r="GJ118" s="281"/>
      <c r="GK118" s="279"/>
      <c r="GL118" s="279"/>
      <c r="GM118" s="189"/>
      <c r="GN118" s="189"/>
      <c r="GO118" s="189"/>
      <c r="GP118" s="189"/>
      <c r="GQ118" s="194"/>
      <c r="GR118" s="281"/>
      <c r="GS118" s="279"/>
      <c r="GT118" s="279"/>
      <c r="GU118" s="189"/>
      <c r="GV118" s="189"/>
      <c r="GW118" s="189"/>
      <c r="GX118" s="189"/>
      <c r="GY118" s="194"/>
      <c r="GZ118" s="281"/>
      <c r="HA118" s="279"/>
      <c r="HB118" s="279"/>
      <c r="HC118" s="189"/>
      <c r="HD118" s="189"/>
      <c r="HE118" s="189"/>
      <c r="HF118" s="189"/>
      <c r="HG118" s="194"/>
      <c r="HH118" s="281"/>
      <c r="HI118" s="279"/>
      <c r="HJ118" s="279"/>
      <c r="HK118" s="189"/>
      <c r="HL118" s="189"/>
      <c r="HM118" s="189"/>
      <c r="HN118" s="189"/>
      <c r="HO118" s="194"/>
      <c r="HP118" s="281"/>
      <c r="HQ118" s="279"/>
      <c r="HR118" s="279"/>
      <c r="HS118" s="189"/>
      <c r="HT118" s="189"/>
      <c r="HU118" s="189"/>
      <c r="HV118" s="189"/>
      <c r="HW118" s="194"/>
      <c r="HX118" s="281"/>
      <c r="HY118" s="279"/>
      <c r="HZ118" s="279"/>
      <c r="IA118" s="189"/>
      <c r="IB118" s="189"/>
      <c r="IC118" s="189"/>
      <c r="ID118" s="189"/>
      <c r="IE118" s="194"/>
      <c r="IF118" s="281"/>
      <c r="IG118" s="279"/>
      <c r="IH118" s="279"/>
      <c r="II118" s="189"/>
      <c r="IJ118" s="189"/>
      <c r="IK118" s="189"/>
      <c r="IL118" s="189"/>
    </row>
    <row r="119" spans="1:246" s="188" customFormat="1" ht="12.75">
      <c r="A119" s="227"/>
      <c r="B119" s="51" t="s">
        <v>650</v>
      </c>
      <c r="C119" s="212" t="s">
        <v>61</v>
      </c>
      <c r="D119" s="212">
        <v>41</v>
      </c>
      <c r="E119" s="215">
        <v>1</v>
      </c>
      <c r="F119" s="215">
        <v>1</v>
      </c>
      <c r="G119" s="260">
        <f t="shared" si="8"/>
        <v>41</v>
      </c>
      <c r="H119" s="362">
        <v>4803</v>
      </c>
      <c r="I119" s="227">
        <v>3</v>
      </c>
      <c r="J119" s="51" t="s">
        <v>230</v>
      </c>
      <c r="K119" s="212"/>
      <c r="L119" s="212"/>
      <c r="M119" s="215"/>
      <c r="N119" s="215"/>
      <c r="O119" s="260"/>
      <c r="P119" s="223">
        <v>150000</v>
      </c>
      <c r="Q119" s="279"/>
      <c r="R119" s="279"/>
      <c r="S119" s="189"/>
      <c r="T119" s="189"/>
      <c r="U119" s="189"/>
      <c r="V119" s="189"/>
      <c r="W119" s="194"/>
      <c r="X119" s="281"/>
      <c r="Y119" s="279"/>
      <c r="Z119" s="279"/>
      <c r="AA119" s="189"/>
      <c r="AB119" s="189"/>
      <c r="AC119" s="189"/>
      <c r="AD119" s="189"/>
      <c r="AE119" s="194"/>
      <c r="AF119" s="281"/>
      <c r="AG119" s="279"/>
      <c r="AH119" s="279"/>
      <c r="AI119" s="189"/>
      <c r="AJ119" s="189"/>
      <c r="AK119" s="189"/>
      <c r="AL119" s="189"/>
      <c r="AM119" s="194"/>
      <c r="AN119" s="281"/>
      <c r="AO119" s="279"/>
      <c r="AP119" s="279"/>
      <c r="AQ119" s="189"/>
      <c r="AR119" s="189"/>
      <c r="AS119" s="189"/>
      <c r="AT119" s="189"/>
      <c r="AU119" s="194"/>
      <c r="AV119" s="281"/>
      <c r="AW119" s="279"/>
      <c r="AX119" s="279"/>
      <c r="AY119" s="189"/>
      <c r="AZ119" s="189"/>
      <c r="BA119" s="189"/>
      <c r="BB119" s="189"/>
      <c r="BC119" s="194"/>
      <c r="BD119" s="281"/>
      <c r="BE119" s="279"/>
      <c r="BF119" s="279"/>
      <c r="BG119" s="189"/>
      <c r="BH119" s="189"/>
      <c r="BI119" s="189"/>
      <c r="BJ119" s="189"/>
      <c r="BK119" s="194"/>
      <c r="BL119" s="281"/>
      <c r="BM119" s="279"/>
      <c r="BN119" s="279"/>
      <c r="BO119" s="189"/>
      <c r="BP119" s="189"/>
      <c r="BQ119" s="189"/>
      <c r="BR119" s="189"/>
      <c r="BS119" s="194"/>
      <c r="BT119" s="281"/>
      <c r="BU119" s="279"/>
      <c r="BV119" s="279"/>
      <c r="BW119" s="189"/>
      <c r="BX119" s="189"/>
      <c r="BY119" s="189"/>
      <c r="BZ119" s="189"/>
      <c r="CA119" s="194"/>
      <c r="CB119" s="281"/>
      <c r="CC119" s="279"/>
      <c r="CD119" s="279"/>
      <c r="CE119" s="189"/>
      <c r="CF119" s="189"/>
      <c r="CG119" s="189"/>
      <c r="CH119" s="189"/>
      <c r="CI119" s="194"/>
      <c r="CJ119" s="281"/>
      <c r="CK119" s="279"/>
      <c r="CL119" s="279"/>
      <c r="CM119" s="189"/>
      <c r="CN119" s="189"/>
      <c r="CO119" s="189"/>
      <c r="CP119" s="189"/>
      <c r="CQ119" s="194"/>
      <c r="CR119" s="281"/>
      <c r="CS119" s="279"/>
      <c r="CT119" s="279"/>
      <c r="CU119" s="189"/>
      <c r="CV119" s="189"/>
      <c r="CW119" s="189"/>
      <c r="CX119" s="189"/>
      <c r="CY119" s="194"/>
      <c r="CZ119" s="281"/>
      <c r="DA119" s="279"/>
      <c r="DB119" s="279"/>
      <c r="DC119" s="189"/>
      <c r="DD119" s="189"/>
      <c r="DE119" s="189"/>
      <c r="DF119" s="189"/>
      <c r="DG119" s="194"/>
      <c r="DH119" s="281"/>
      <c r="DI119" s="279"/>
      <c r="DJ119" s="279"/>
      <c r="DK119" s="189"/>
      <c r="DL119" s="189"/>
      <c r="DM119" s="189"/>
      <c r="DN119" s="189"/>
      <c r="DO119" s="194"/>
      <c r="DP119" s="281"/>
      <c r="DQ119" s="279"/>
      <c r="DR119" s="279"/>
      <c r="DS119" s="189"/>
      <c r="DT119" s="189"/>
      <c r="DU119" s="189"/>
      <c r="DV119" s="189"/>
      <c r="DW119" s="194"/>
      <c r="DX119" s="281"/>
      <c r="DY119" s="279"/>
      <c r="DZ119" s="279"/>
      <c r="EA119" s="189"/>
      <c r="EB119" s="189"/>
      <c r="EC119" s="189"/>
      <c r="ED119" s="189"/>
      <c r="EE119" s="194"/>
      <c r="EF119" s="281"/>
      <c r="EG119" s="279"/>
      <c r="EH119" s="279"/>
      <c r="EI119" s="189"/>
      <c r="EJ119" s="189"/>
      <c r="EK119" s="189"/>
      <c r="EL119" s="189"/>
      <c r="EM119" s="194"/>
      <c r="EN119" s="281"/>
      <c r="EO119" s="279"/>
      <c r="EP119" s="279"/>
      <c r="EQ119" s="189"/>
      <c r="ER119" s="189"/>
      <c r="ES119" s="189"/>
      <c r="ET119" s="189"/>
      <c r="EU119" s="194"/>
      <c r="EV119" s="281"/>
      <c r="EW119" s="279"/>
      <c r="EX119" s="279"/>
      <c r="EY119" s="189"/>
      <c r="EZ119" s="189"/>
      <c r="FA119" s="189"/>
      <c r="FB119" s="189"/>
      <c r="FC119" s="194"/>
      <c r="FD119" s="281"/>
      <c r="FE119" s="279"/>
      <c r="FF119" s="279"/>
      <c r="FG119" s="189"/>
      <c r="FH119" s="189"/>
      <c r="FI119" s="189"/>
      <c r="FJ119" s="189"/>
      <c r="FK119" s="194"/>
      <c r="FL119" s="281"/>
      <c r="FM119" s="279"/>
      <c r="FN119" s="279"/>
      <c r="FO119" s="189"/>
      <c r="FP119" s="189"/>
      <c r="FQ119" s="189"/>
      <c r="FR119" s="189"/>
      <c r="FS119" s="194"/>
      <c r="FT119" s="281"/>
      <c r="FU119" s="279"/>
      <c r="FV119" s="279"/>
      <c r="FW119" s="189"/>
      <c r="FX119" s="189"/>
      <c r="FY119" s="189"/>
      <c r="FZ119" s="189"/>
      <c r="GA119" s="194"/>
      <c r="GB119" s="281"/>
      <c r="GC119" s="279"/>
      <c r="GD119" s="279"/>
      <c r="GE119" s="189"/>
      <c r="GF119" s="189"/>
      <c r="GG119" s="189"/>
      <c r="GH119" s="189"/>
      <c r="GI119" s="194"/>
      <c r="GJ119" s="281"/>
      <c r="GK119" s="279"/>
      <c r="GL119" s="279"/>
      <c r="GM119" s="189"/>
      <c r="GN119" s="189"/>
      <c r="GO119" s="189"/>
      <c r="GP119" s="189"/>
      <c r="GQ119" s="194"/>
      <c r="GR119" s="281"/>
      <c r="GS119" s="279"/>
      <c r="GT119" s="279"/>
      <c r="GU119" s="189"/>
      <c r="GV119" s="189"/>
      <c r="GW119" s="189"/>
      <c r="GX119" s="189"/>
      <c r="GY119" s="194"/>
      <c r="GZ119" s="281"/>
      <c r="HA119" s="279"/>
      <c r="HB119" s="279"/>
      <c r="HC119" s="189"/>
      <c r="HD119" s="189"/>
      <c r="HE119" s="189"/>
      <c r="HF119" s="189"/>
      <c r="HG119" s="194"/>
      <c r="HH119" s="281"/>
      <c r="HI119" s="279"/>
      <c r="HJ119" s="279"/>
      <c r="HK119" s="189"/>
      <c r="HL119" s="189"/>
      <c r="HM119" s="189"/>
      <c r="HN119" s="189"/>
      <c r="HO119" s="194"/>
      <c r="HP119" s="281"/>
      <c r="HQ119" s="279"/>
      <c r="HR119" s="279"/>
      <c r="HS119" s="189"/>
      <c r="HT119" s="189"/>
      <c r="HU119" s="189"/>
      <c r="HV119" s="189"/>
      <c r="HW119" s="194"/>
      <c r="HX119" s="281"/>
      <c r="HY119" s="279"/>
      <c r="HZ119" s="279"/>
      <c r="IA119" s="189"/>
      <c r="IB119" s="189"/>
      <c r="IC119" s="189"/>
      <c r="ID119" s="189"/>
      <c r="IE119" s="194"/>
      <c r="IF119" s="281"/>
      <c r="IG119" s="279"/>
      <c r="IH119" s="279"/>
      <c r="II119" s="189"/>
      <c r="IJ119" s="189"/>
      <c r="IK119" s="189"/>
      <c r="IL119" s="189"/>
    </row>
    <row r="120" spans="1:246" s="188" customFormat="1" ht="12.75">
      <c r="A120" s="227"/>
      <c r="B120" s="51" t="s">
        <v>646</v>
      </c>
      <c r="C120" s="212" t="s">
        <v>61</v>
      </c>
      <c r="D120" s="212">
        <v>20</v>
      </c>
      <c r="E120" s="215">
        <v>1</v>
      </c>
      <c r="F120" s="215">
        <v>1</v>
      </c>
      <c r="G120" s="260">
        <f t="shared" si="8"/>
        <v>20</v>
      </c>
      <c r="H120" s="362">
        <v>2572</v>
      </c>
      <c r="I120" s="227">
        <v>4</v>
      </c>
      <c r="J120" s="282" t="s">
        <v>231</v>
      </c>
      <c r="K120" s="212"/>
      <c r="L120" s="212"/>
      <c r="M120" s="215"/>
      <c r="N120" s="215"/>
      <c r="O120" s="260"/>
      <c r="P120" s="223">
        <v>0</v>
      </c>
      <c r="Q120" s="279"/>
      <c r="R120" s="279"/>
      <c r="S120" s="189"/>
      <c r="T120" s="189"/>
      <c r="U120" s="189"/>
      <c r="V120" s="189"/>
      <c r="W120" s="194"/>
      <c r="X120" s="281"/>
      <c r="Y120" s="279"/>
      <c r="Z120" s="279"/>
      <c r="AA120" s="189"/>
      <c r="AB120" s="189"/>
      <c r="AC120" s="189"/>
      <c r="AD120" s="189"/>
      <c r="AE120" s="194"/>
      <c r="AF120" s="281"/>
      <c r="AG120" s="279"/>
      <c r="AH120" s="279"/>
      <c r="AI120" s="189"/>
      <c r="AJ120" s="189"/>
      <c r="AK120" s="189"/>
      <c r="AL120" s="189"/>
      <c r="AM120" s="194"/>
      <c r="AN120" s="281"/>
      <c r="AO120" s="279"/>
      <c r="AP120" s="279"/>
      <c r="AQ120" s="189"/>
      <c r="AR120" s="189"/>
      <c r="AS120" s="189"/>
      <c r="AT120" s="189"/>
      <c r="AU120" s="194"/>
      <c r="AV120" s="281"/>
      <c r="AW120" s="279"/>
      <c r="AX120" s="279"/>
      <c r="AY120" s="189"/>
      <c r="AZ120" s="189"/>
      <c r="BA120" s="189"/>
      <c r="BB120" s="189"/>
      <c r="BC120" s="194"/>
      <c r="BD120" s="281"/>
      <c r="BE120" s="279"/>
      <c r="BF120" s="279"/>
      <c r="BG120" s="189"/>
      <c r="BH120" s="189"/>
      <c r="BI120" s="189"/>
      <c r="BJ120" s="189"/>
      <c r="BK120" s="194"/>
      <c r="BL120" s="281"/>
      <c r="BM120" s="279"/>
      <c r="BN120" s="279"/>
      <c r="BO120" s="189"/>
      <c r="BP120" s="189"/>
      <c r="BQ120" s="189"/>
      <c r="BR120" s="189"/>
      <c r="BS120" s="194"/>
      <c r="BT120" s="281"/>
      <c r="BU120" s="279"/>
      <c r="BV120" s="279"/>
      <c r="BW120" s="189"/>
      <c r="BX120" s="189"/>
      <c r="BY120" s="189"/>
      <c r="BZ120" s="189"/>
      <c r="CA120" s="194"/>
      <c r="CB120" s="281"/>
      <c r="CC120" s="279"/>
      <c r="CD120" s="279"/>
      <c r="CE120" s="189"/>
      <c r="CF120" s="189"/>
      <c r="CG120" s="189"/>
      <c r="CH120" s="189"/>
      <c r="CI120" s="194"/>
      <c r="CJ120" s="281"/>
      <c r="CK120" s="279"/>
      <c r="CL120" s="279"/>
      <c r="CM120" s="189"/>
      <c r="CN120" s="189"/>
      <c r="CO120" s="189"/>
      <c r="CP120" s="189"/>
      <c r="CQ120" s="194"/>
      <c r="CR120" s="281"/>
      <c r="CS120" s="279"/>
      <c r="CT120" s="279"/>
      <c r="CU120" s="189"/>
      <c r="CV120" s="189"/>
      <c r="CW120" s="189"/>
      <c r="CX120" s="189"/>
      <c r="CY120" s="194"/>
      <c r="CZ120" s="281"/>
      <c r="DA120" s="279"/>
      <c r="DB120" s="279"/>
      <c r="DC120" s="189"/>
      <c r="DD120" s="189"/>
      <c r="DE120" s="189"/>
      <c r="DF120" s="189"/>
      <c r="DG120" s="194"/>
      <c r="DH120" s="281"/>
      <c r="DI120" s="279"/>
      <c r="DJ120" s="279"/>
      <c r="DK120" s="189"/>
      <c r="DL120" s="189"/>
      <c r="DM120" s="189"/>
      <c r="DN120" s="189"/>
      <c r="DO120" s="194"/>
      <c r="DP120" s="281"/>
      <c r="DQ120" s="279"/>
      <c r="DR120" s="279"/>
      <c r="DS120" s="189"/>
      <c r="DT120" s="189"/>
      <c r="DU120" s="189"/>
      <c r="DV120" s="189"/>
      <c r="DW120" s="194"/>
      <c r="DX120" s="281"/>
      <c r="DY120" s="279"/>
      <c r="DZ120" s="279"/>
      <c r="EA120" s="189"/>
      <c r="EB120" s="189"/>
      <c r="EC120" s="189"/>
      <c r="ED120" s="189"/>
      <c r="EE120" s="194"/>
      <c r="EF120" s="281"/>
      <c r="EG120" s="279"/>
      <c r="EH120" s="279"/>
      <c r="EI120" s="189"/>
      <c r="EJ120" s="189"/>
      <c r="EK120" s="189"/>
      <c r="EL120" s="189"/>
      <c r="EM120" s="194"/>
      <c r="EN120" s="281"/>
      <c r="EO120" s="279"/>
      <c r="EP120" s="279"/>
      <c r="EQ120" s="189"/>
      <c r="ER120" s="189"/>
      <c r="ES120" s="189"/>
      <c r="ET120" s="189"/>
      <c r="EU120" s="194"/>
      <c r="EV120" s="281"/>
      <c r="EW120" s="279"/>
      <c r="EX120" s="279"/>
      <c r="EY120" s="189"/>
      <c r="EZ120" s="189"/>
      <c r="FA120" s="189"/>
      <c r="FB120" s="189"/>
      <c r="FC120" s="194"/>
      <c r="FD120" s="281"/>
      <c r="FE120" s="279"/>
      <c r="FF120" s="279"/>
      <c r="FG120" s="189"/>
      <c r="FH120" s="189"/>
      <c r="FI120" s="189"/>
      <c r="FJ120" s="189"/>
      <c r="FK120" s="194"/>
      <c r="FL120" s="281"/>
      <c r="FM120" s="279"/>
      <c r="FN120" s="279"/>
      <c r="FO120" s="189"/>
      <c r="FP120" s="189"/>
      <c r="FQ120" s="189"/>
      <c r="FR120" s="189"/>
      <c r="FS120" s="194"/>
      <c r="FT120" s="281"/>
      <c r="FU120" s="279"/>
      <c r="FV120" s="279"/>
      <c r="FW120" s="189"/>
      <c r="FX120" s="189"/>
      <c r="FY120" s="189"/>
      <c r="FZ120" s="189"/>
      <c r="GA120" s="194"/>
      <c r="GB120" s="281"/>
      <c r="GC120" s="279"/>
      <c r="GD120" s="279"/>
      <c r="GE120" s="189"/>
      <c r="GF120" s="189"/>
      <c r="GG120" s="189"/>
      <c r="GH120" s="189"/>
      <c r="GI120" s="194"/>
      <c r="GJ120" s="281"/>
      <c r="GK120" s="279"/>
      <c r="GL120" s="279"/>
      <c r="GM120" s="189"/>
      <c r="GN120" s="189"/>
      <c r="GO120" s="189"/>
      <c r="GP120" s="189"/>
      <c r="GQ120" s="194"/>
      <c r="GR120" s="281"/>
      <c r="GS120" s="279"/>
      <c r="GT120" s="279"/>
      <c r="GU120" s="189"/>
      <c r="GV120" s="189"/>
      <c r="GW120" s="189"/>
      <c r="GX120" s="189"/>
      <c r="GY120" s="194"/>
      <c r="GZ120" s="281"/>
      <c r="HA120" s="279"/>
      <c r="HB120" s="279"/>
      <c r="HC120" s="189"/>
      <c r="HD120" s="189"/>
      <c r="HE120" s="189"/>
      <c r="HF120" s="189"/>
      <c r="HG120" s="194"/>
      <c r="HH120" s="281"/>
      <c r="HI120" s="279"/>
      <c r="HJ120" s="279"/>
      <c r="HK120" s="189"/>
      <c r="HL120" s="189"/>
      <c r="HM120" s="189"/>
      <c r="HN120" s="189"/>
      <c r="HO120" s="194"/>
      <c r="HP120" s="281"/>
      <c r="HQ120" s="279"/>
      <c r="HR120" s="279"/>
      <c r="HS120" s="189"/>
      <c r="HT120" s="189"/>
      <c r="HU120" s="189"/>
      <c r="HV120" s="189"/>
      <c r="HW120" s="194"/>
      <c r="HX120" s="281"/>
      <c r="HY120" s="279"/>
      <c r="HZ120" s="279"/>
      <c r="IA120" s="189"/>
      <c r="IB120" s="189"/>
      <c r="IC120" s="189"/>
      <c r="ID120" s="189"/>
      <c r="IE120" s="194"/>
      <c r="IF120" s="281"/>
      <c r="IG120" s="279"/>
      <c r="IH120" s="279"/>
      <c r="II120" s="189"/>
      <c r="IJ120" s="189"/>
      <c r="IK120" s="189"/>
      <c r="IL120" s="189"/>
    </row>
    <row r="121" spans="1:246" s="188" customFormat="1" ht="12.75">
      <c r="A121" s="227"/>
      <c r="B121" s="51" t="s">
        <v>647</v>
      </c>
      <c r="C121" s="212" t="s">
        <v>61</v>
      </c>
      <c r="D121" s="212">
        <v>2</v>
      </c>
      <c r="E121" s="215">
        <v>1</v>
      </c>
      <c r="F121" s="215">
        <v>1</v>
      </c>
      <c r="G121" s="260">
        <f t="shared" si="8"/>
        <v>2</v>
      </c>
      <c r="H121" s="362">
        <v>820</v>
      </c>
      <c r="I121" s="227">
        <v>5</v>
      </c>
      <c r="J121" s="282" t="s">
        <v>558</v>
      </c>
      <c r="K121" s="212"/>
      <c r="L121" s="212"/>
      <c r="M121" s="215"/>
      <c r="N121" s="215"/>
      <c r="O121" s="260"/>
      <c r="P121" s="223">
        <v>29000</v>
      </c>
      <c r="Q121" s="279"/>
      <c r="R121" s="279"/>
      <c r="S121" s="189"/>
      <c r="T121" s="189"/>
      <c r="U121" s="189"/>
      <c r="V121" s="189"/>
      <c r="W121" s="194"/>
      <c r="X121" s="281"/>
      <c r="Y121" s="279"/>
      <c r="Z121" s="279"/>
      <c r="AA121" s="189"/>
      <c r="AB121" s="189"/>
      <c r="AC121" s="189"/>
      <c r="AD121" s="189"/>
      <c r="AE121" s="194"/>
      <c r="AF121" s="281"/>
      <c r="AG121" s="279"/>
      <c r="AH121" s="279"/>
      <c r="AI121" s="189"/>
      <c r="AJ121" s="189"/>
      <c r="AK121" s="189"/>
      <c r="AL121" s="189"/>
      <c r="AM121" s="194"/>
      <c r="AN121" s="281"/>
      <c r="AO121" s="279"/>
      <c r="AP121" s="279"/>
      <c r="AQ121" s="189"/>
      <c r="AR121" s="189"/>
      <c r="AS121" s="189"/>
      <c r="AT121" s="189"/>
      <c r="AU121" s="194"/>
      <c r="AV121" s="281"/>
      <c r="AW121" s="279"/>
      <c r="AX121" s="279"/>
      <c r="AY121" s="189"/>
      <c r="AZ121" s="189"/>
      <c r="BA121" s="189"/>
      <c r="BB121" s="189"/>
      <c r="BC121" s="194"/>
      <c r="BD121" s="281"/>
      <c r="BE121" s="279"/>
      <c r="BF121" s="279"/>
      <c r="BG121" s="189"/>
      <c r="BH121" s="189"/>
      <c r="BI121" s="189"/>
      <c r="BJ121" s="189"/>
      <c r="BK121" s="194"/>
      <c r="BL121" s="281"/>
      <c r="BM121" s="279"/>
      <c r="BN121" s="279"/>
      <c r="BO121" s="189"/>
      <c r="BP121" s="189"/>
      <c r="BQ121" s="189"/>
      <c r="BR121" s="189"/>
      <c r="BS121" s="194"/>
      <c r="BT121" s="281"/>
      <c r="BU121" s="279"/>
      <c r="BV121" s="279"/>
      <c r="BW121" s="189"/>
      <c r="BX121" s="189"/>
      <c r="BY121" s="189"/>
      <c r="BZ121" s="189"/>
      <c r="CA121" s="194"/>
      <c r="CB121" s="281"/>
      <c r="CC121" s="279"/>
      <c r="CD121" s="279"/>
      <c r="CE121" s="189"/>
      <c r="CF121" s="189"/>
      <c r="CG121" s="189"/>
      <c r="CH121" s="189"/>
      <c r="CI121" s="194"/>
      <c r="CJ121" s="281"/>
      <c r="CK121" s="279"/>
      <c r="CL121" s="279"/>
      <c r="CM121" s="189"/>
      <c r="CN121" s="189"/>
      <c r="CO121" s="189"/>
      <c r="CP121" s="189"/>
      <c r="CQ121" s="194"/>
      <c r="CR121" s="281"/>
      <c r="CS121" s="279"/>
      <c r="CT121" s="279"/>
      <c r="CU121" s="189"/>
      <c r="CV121" s="189"/>
      <c r="CW121" s="189"/>
      <c r="CX121" s="189"/>
      <c r="CY121" s="194"/>
      <c r="CZ121" s="281"/>
      <c r="DA121" s="279"/>
      <c r="DB121" s="279"/>
      <c r="DC121" s="189"/>
      <c r="DD121" s="189"/>
      <c r="DE121" s="189"/>
      <c r="DF121" s="189"/>
      <c r="DG121" s="194"/>
      <c r="DH121" s="281"/>
      <c r="DI121" s="279"/>
      <c r="DJ121" s="279"/>
      <c r="DK121" s="189"/>
      <c r="DL121" s="189"/>
      <c r="DM121" s="189"/>
      <c r="DN121" s="189"/>
      <c r="DO121" s="194"/>
      <c r="DP121" s="281"/>
      <c r="DQ121" s="279"/>
      <c r="DR121" s="279"/>
      <c r="DS121" s="189"/>
      <c r="DT121" s="189"/>
      <c r="DU121" s="189"/>
      <c r="DV121" s="189"/>
      <c r="DW121" s="194"/>
      <c r="DX121" s="281"/>
      <c r="DY121" s="279"/>
      <c r="DZ121" s="279"/>
      <c r="EA121" s="189"/>
      <c r="EB121" s="189"/>
      <c r="EC121" s="189"/>
      <c r="ED121" s="189"/>
      <c r="EE121" s="194"/>
      <c r="EF121" s="281"/>
      <c r="EG121" s="279"/>
      <c r="EH121" s="279"/>
      <c r="EI121" s="189"/>
      <c r="EJ121" s="189"/>
      <c r="EK121" s="189"/>
      <c r="EL121" s="189"/>
      <c r="EM121" s="194"/>
      <c r="EN121" s="281"/>
      <c r="EO121" s="279"/>
      <c r="EP121" s="279"/>
      <c r="EQ121" s="189"/>
      <c r="ER121" s="189"/>
      <c r="ES121" s="189"/>
      <c r="ET121" s="189"/>
      <c r="EU121" s="194"/>
      <c r="EV121" s="281"/>
      <c r="EW121" s="279"/>
      <c r="EX121" s="279"/>
      <c r="EY121" s="189"/>
      <c r="EZ121" s="189"/>
      <c r="FA121" s="189"/>
      <c r="FB121" s="189"/>
      <c r="FC121" s="194"/>
      <c r="FD121" s="281"/>
      <c r="FE121" s="279"/>
      <c r="FF121" s="279"/>
      <c r="FG121" s="189"/>
      <c r="FH121" s="189"/>
      <c r="FI121" s="189"/>
      <c r="FJ121" s="189"/>
      <c r="FK121" s="194"/>
      <c r="FL121" s="281"/>
      <c r="FM121" s="279"/>
      <c r="FN121" s="279"/>
      <c r="FO121" s="189"/>
      <c r="FP121" s="189"/>
      <c r="FQ121" s="189"/>
      <c r="FR121" s="189"/>
      <c r="FS121" s="194"/>
      <c r="FT121" s="281"/>
      <c r="FU121" s="279"/>
      <c r="FV121" s="279"/>
      <c r="FW121" s="189"/>
      <c r="FX121" s="189"/>
      <c r="FY121" s="189"/>
      <c r="FZ121" s="189"/>
      <c r="GA121" s="194"/>
      <c r="GB121" s="281"/>
      <c r="GC121" s="279"/>
      <c r="GD121" s="279"/>
      <c r="GE121" s="189"/>
      <c r="GF121" s="189"/>
      <c r="GG121" s="189"/>
      <c r="GH121" s="189"/>
      <c r="GI121" s="194"/>
      <c r="GJ121" s="281"/>
      <c r="GK121" s="279"/>
      <c r="GL121" s="279"/>
      <c r="GM121" s="189"/>
      <c r="GN121" s="189"/>
      <c r="GO121" s="189"/>
      <c r="GP121" s="189"/>
      <c r="GQ121" s="194"/>
      <c r="GR121" s="281"/>
      <c r="GS121" s="279"/>
      <c r="GT121" s="279"/>
      <c r="GU121" s="189"/>
      <c r="GV121" s="189"/>
      <c r="GW121" s="189"/>
      <c r="GX121" s="189"/>
      <c r="GY121" s="194"/>
      <c r="GZ121" s="281"/>
      <c r="HA121" s="279"/>
      <c r="HB121" s="279"/>
      <c r="HC121" s="189"/>
      <c r="HD121" s="189"/>
      <c r="HE121" s="189"/>
      <c r="HF121" s="189"/>
      <c r="HG121" s="194"/>
      <c r="HH121" s="281"/>
      <c r="HI121" s="279"/>
      <c r="HJ121" s="279"/>
      <c r="HK121" s="189"/>
      <c r="HL121" s="189"/>
      <c r="HM121" s="189"/>
      <c r="HN121" s="189"/>
      <c r="HO121" s="194"/>
      <c r="HP121" s="281"/>
      <c r="HQ121" s="279"/>
      <c r="HR121" s="279"/>
      <c r="HS121" s="189"/>
      <c r="HT121" s="189"/>
      <c r="HU121" s="189"/>
      <c r="HV121" s="189"/>
      <c r="HW121" s="194"/>
      <c r="HX121" s="281"/>
      <c r="HY121" s="279"/>
      <c r="HZ121" s="279"/>
      <c r="IA121" s="189"/>
      <c r="IB121" s="189"/>
      <c r="IC121" s="189"/>
      <c r="ID121" s="189"/>
      <c r="IE121" s="194"/>
      <c r="IF121" s="281"/>
      <c r="IG121" s="279"/>
      <c r="IH121" s="279"/>
      <c r="II121" s="189"/>
      <c r="IJ121" s="189"/>
      <c r="IK121" s="189"/>
      <c r="IL121" s="189"/>
    </row>
    <row r="122" spans="1:246" s="188" customFormat="1" ht="15">
      <c r="A122" s="227"/>
      <c r="B122" s="51" t="s">
        <v>648</v>
      </c>
      <c r="C122" s="212" t="s">
        <v>61</v>
      </c>
      <c r="D122" s="212">
        <v>4</v>
      </c>
      <c r="E122" s="215">
        <v>1</v>
      </c>
      <c r="F122" s="215">
        <v>1</v>
      </c>
      <c r="G122" s="260">
        <f t="shared" si="8"/>
        <v>4</v>
      </c>
      <c r="H122" s="362">
        <v>1375</v>
      </c>
      <c r="I122" s="227"/>
      <c r="J122" s="93" t="s">
        <v>220</v>
      </c>
      <c r="K122" s="224"/>
      <c r="L122" s="210"/>
      <c r="M122" s="231"/>
      <c r="N122" s="231"/>
      <c r="O122" s="245"/>
      <c r="P122" s="254">
        <f>P105+P106+P116</f>
        <v>1129156.0024169981</v>
      </c>
      <c r="Q122" s="279"/>
      <c r="R122" s="279"/>
      <c r="S122" s="189"/>
      <c r="T122" s="189"/>
      <c r="U122" s="189"/>
      <c r="V122" s="189"/>
      <c r="W122" s="194"/>
      <c r="X122" s="281"/>
      <c r="Y122" s="279"/>
      <c r="Z122" s="279"/>
      <c r="AA122" s="189"/>
      <c r="AB122" s="189"/>
      <c r="AC122" s="189"/>
      <c r="AD122" s="189"/>
      <c r="AE122" s="194"/>
      <c r="AF122" s="281"/>
      <c r="AG122" s="279"/>
      <c r="AH122" s="279"/>
      <c r="AI122" s="189"/>
      <c r="AJ122" s="189"/>
      <c r="AK122" s="189"/>
      <c r="AL122" s="189"/>
      <c r="AM122" s="194"/>
      <c r="AN122" s="281"/>
      <c r="AO122" s="279"/>
      <c r="AP122" s="279"/>
      <c r="AQ122" s="189"/>
      <c r="AR122" s="189"/>
      <c r="AS122" s="189"/>
      <c r="AT122" s="189"/>
      <c r="AU122" s="194"/>
      <c r="AV122" s="281"/>
      <c r="AW122" s="279"/>
      <c r="AX122" s="279"/>
      <c r="AY122" s="189"/>
      <c r="AZ122" s="189"/>
      <c r="BA122" s="189"/>
      <c r="BB122" s="189"/>
      <c r="BC122" s="194"/>
      <c r="BD122" s="281"/>
      <c r="BE122" s="279"/>
      <c r="BF122" s="279"/>
      <c r="BG122" s="189"/>
      <c r="BH122" s="189"/>
      <c r="BI122" s="189"/>
      <c r="BJ122" s="189"/>
      <c r="BK122" s="194"/>
      <c r="BL122" s="281"/>
      <c r="BM122" s="279"/>
      <c r="BN122" s="279"/>
      <c r="BO122" s="189"/>
      <c r="BP122" s="189"/>
      <c r="BQ122" s="189"/>
      <c r="BR122" s="189"/>
      <c r="BS122" s="194"/>
      <c r="BT122" s="281"/>
      <c r="BU122" s="279"/>
      <c r="BV122" s="279"/>
      <c r="BW122" s="189"/>
      <c r="BX122" s="189"/>
      <c r="BY122" s="189"/>
      <c r="BZ122" s="189"/>
      <c r="CA122" s="194"/>
      <c r="CB122" s="281"/>
      <c r="CC122" s="279"/>
      <c r="CD122" s="279"/>
      <c r="CE122" s="189"/>
      <c r="CF122" s="189"/>
      <c r="CG122" s="189"/>
      <c r="CH122" s="189"/>
      <c r="CI122" s="194"/>
      <c r="CJ122" s="281"/>
      <c r="CK122" s="279"/>
      <c r="CL122" s="279"/>
      <c r="CM122" s="189"/>
      <c r="CN122" s="189"/>
      <c r="CO122" s="189"/>
      <c r="CP122" s="189"/>
      <c r="CQ122" s="194"/>
      <c r="CR122" s="281"/>
      <c r="CS122" s="279"/>
      <c r="CT122" s="279"/>
      <c r="CU122" s="189"/>
      <c r="CV122" s="189"/>
      <c r="CW122" s="189"/>
      <c r="CX122" s="189"/>
      <c r="CY122" s="194"/>
      <c r="CZ122" s="281"/>
      <c r="DA122" s="279"/>
      <c r="DB122" s="279"/>
      <c r="DC122" s="189"/>
      <c r="DD122" s="189"/>
      <c r="DE122" s="189"/>
      <c r="DF122" s="189"/>
      <c r="DG122" s="194"/>
      <c r="DH122" s="281"/>
      <c r="DI122" s="279"/>
      <c r="DJ122" s="279"/>
      <c r="DK122" s="189"/>
      <c r="DL122" s="189"/>
      <c r="DM122" s="189"/>
      <c r="DN122" s="189"/>
      <c r="DO122" s="194"/>
      <c r="DP122" s="281"/>
      <c r="DQ122" s="279"/>
      <c r="DR122" s="279"/>
      <c r="DS122" s="189"/>
      <c r="DT122" s="189"/>
      <c r="DU122" s="189"/>
      <c r="DV122" s="189"/>
      <c r="DW122" s="194"/>
      <c r="DX122" s="281"/>
      <c r="DY122" s="279"/>
      <c r="DZ122" s="279"/>
      <c r="EA122" s="189"/>
      <c r="EB122" s="189"/>
      <c r="EC122" s="189"/>
      <c r="ED122" s="189"/>
      <c r="EE122" s="194"/>
      <c r="EF122" s="281"/>
      <c r="EG122" s="279"/>
      <c r="EH122" s="279"/>
      <c r="EI122" s="189"/>
      <c r="EJ122" s="189"/>
      <c r="EK122" s="189"/>
      <c r="EL122" s="189"/>
      <c r="EM122" s="194"/>
      <c r="EN122" s="281"/>
      <c r="EO122" s="279"/>
      <c r="EP122" s="279"/>
      <c r="EQ122" s="189"/>
      <c r="ER122" s="189"/>
      <c r="ES122" s="189"/>
      <c r="ET122" s="189"/>
      <c r="EU122" s="194"/>
      <c r="EV122" s="281"/>
      <c r="EW122" s="279"/>
      <c r="EX122" s="279"/>
      <c r="EY122" s="189"/>
      <c r="EZ122" s="189"/>
      <c r="FA122" s="189"/>
      <c r="FB122" s="189"/>
      <c r="FC122" s="194"/>
      <c r="FD122" s="281"/>
      <c r="FE122" s="279"/>
      <c r="FF122" s="279"/>
      <c r="FG122" s="189"/>
      <c r="FH122" s="189"/>
      <c r="FI122" s="189"/>
      <c r="FJ122" s="189"/>
      <c r="FK122" s="194"/>
      <c r="FL122" s="281"/>
      <c r="FM122" s="279"/>
      <c r="FN122" s="279"/>
      <c r="FO122" s="189"/>
      <c r="FP122" s="189"/>
      <c r="FQ122" s="189"/>
      <c r="FR122" s="189"/>
      <c r="FS122" s="194"/>
      <c r="FT122" s="281"/>
      <c r="FU122" s="279"/>
      <c r="FV122" s="279"/>
      <c r="FW122" s="189"/>
      <c r="FX122" s="189"/>
      <c r="FY122" s="189"/>
      <c r="FZ122" s="189"/>
      <c r="GA122" s="194"/>
      <c r="GB122" s="281"/>
      <c r="GC122" s="279"/>
      <c r="GD122" s="279"/>
      <c r="GE122" s="189"/>
      <c r="GF122" s="189"/>
      <c r="GG122" s="189"/>
      <c r="GH122" s="189"/>
      <c r="GI122" s="194"/>
      <c r="GJ122" s="281"/>
      <c r="GK122" s="279"/>
      <c r="GL122" s="279"/>
      <c r="GM122" s="189"/>
      <c r="GN122" s="189"/>
      <c r="GO122" s="189"/>
      <c r="GP122" s="189"/>
      <c r="GQ122" s="194"/>
      <c r="GR122" s="281"/>
      <c r="GS122" s="279"/>
      <c r="GT122" s="279"/>
      <c r="GU122" s="189"/>
      <c r="GV122" s="189"/>
      <c r="GW122" s="189"/>
      <c r="GX122" s="189"/>
      <c r="GY122" s="194"/>
      <c r="GZ122" s="281"/>
      <c r="HA122" s="279"/>
      <c r="HB122" s="279"/>
      <c r="HC122" s="189"/>
      <c r="HD122" s="189"/>
      <c r="HE122" s="189"/>
      <c r="HF122" s="189"/>
      <c r="HG122" s="194"/>
      <c r="HH122" s="281"/>
      <c r="HI122" s="279"/>
      <c r="HJ122" s="279"/>
      <c r="HK122" s="189"/>
      <c r="HL122" s="189"/>
      <c r="HM122" s="189"/>
      <c r="HN122" s="189"/>
      <c r="HO122" s="194"/>
      <c r="HP122" s="281"/>
      <c r="HQ122" s="279"/>
      <c r="HR122" s="279"/>
      <c r="HS122" s="189"/>
      <c r="HT122" s="189"/>
      <c r="HU122" s="189"/>
      <c r="HV122" s="189"/>
      <c r="HW122" s="194"/>
      <c r="HX122" s="281"/>
      <c r="HY122" s="279"/>
      <c r="HZ122" s="279"/>
      <c r="IA122" s="189"/>
      <c r="IB122" s="189"/>
      <c r="IC122" s="189"/>
      <c r="ID122" s="189"/>
      <c r="IE122" s="194"/>
      <c r="IF122" s="281"/>
      <c r="IG122" s="279"/>
      <c r="IH122" s="279"/>
      <c r="II122" s="189"/>
      <c r="IJ122" s="189"/>
      <c r="IK122" s="189"/>
      <c r="IL122" s="189"/>
    </row>
    <row r="123" spans="1:246" s="188" customFormat="1" ht="12.75" customHeight="1">
      <c r="A123" s="227"/>
      <c r="B123" s="51" t="s">
        <v>649</v>
      </c>
      <c r="C123" s="212" t="s">
        <v>61</v>
      </c>
      <c r="D123" s="212">
        <v>16</v>
      </c>
      <c r="E123" s="215">
        <v>1</v>
      </c>
      <c r="F123" s="215">
        <v>1</v>
      </c>
      <c r="G123" s="260">
        <f t="shared" si="8"/>
        <v>16</v>
      </c>
      <c r="H123" s="362">
        <v>5750</v>
      </c>
      <c r="I123" s="399" t="s">
        <v>68</v>
      </c>
      <c r="J123" s="402"/>
      <c r="K123" s="402"/>
      <c r="L123" s="402"/>
      <c r="M123" s="402"/>
      <c r="N123" s="402"/>
      <c r="O123" s="402"/>
      <c r="P123" s="185"/>
      <c r="Q123" s="279"/>
      <c r="R123" s="279"/>
      <c r="S123" s="189"/>
      <c r="T123" s="189"/>
      <c r="U123" s="189"/>
      <c r="V123" s="189"/>
      <c r="W123" s="194"/>
      <c r="X123" s="281"/>
      <c r="Y123" s="279"/>
      <c r="Z123" s="279"/>
      <c r="AA123" s="189"/>
      <c r="AB123" s="189"/>
      <c r="AC123" s="189"/>
      <c r="AD123" s="189"/>
      <c r="AE123" s="194"/>
      <c r="AF123" s="281"/>
      <c r="AG123" s="279"/>
      <c r="AH123" s="279"/>
      <c r="AI123" s="189"/>
      <c r="AJ123" s="189"/>
      <c r="AK123" s="189"/>
      <c r="AL123" s="189"/>
      <c r="AM123" s="194"/>
      <c r="AN123" s="281"/>
      <c r="AO123" s="279"/>
      <c r="AP123" s="279"/>
      <c r="AQ123" s="189"/>
      <c r="AR123" s="189"/>
      <c r="AS123" s="189"/>
      <c r="AT123" s="189"/>
      <c r="AU123" s="194"/>
      <c r="AV123" s="281"/>
      <c r="AW123" s="279"/>
      <c r="AX123" s="279"/>
      <c r="AY123" s="189"/>
      <c r="AZ123" s="189"/>
      <c r="BA123" s="189"/>
      <c r="BB123" s="189"/>
      <c r="BC123" s="194"/>
      <c r="BD123" s="281"/>
      <c r="BE123" s="279"/>
      <c r="BF123" s="279"/>
      <c r="BG123" s="189"/>
      <c r="BH123" s="189"/>
      <c r="BI123" s="189"/>
      <c r="BJ123" s="189"/>
      <c r="BK123" s="194"/>
      <c r="BL123" s="281"/>
      <c r="BM123" s="279"/>
      <c r="BN123" s="279"/>
      <c r="BO123" s="189"/>
      <c r="BP123" s="189"/>
      <c r="BQ123" s="189"/>
      <c r="BR123" s="189"/>
      <c r="BS123" s="194"/>
      <c r="BT123" s="281"/>
      <c r="BU123" s="279"/>
      <c r="BV123" s="279"/>
      <c r="BW123" s="189"/>
      <c r="BX123" s="189"/>
      <c r="BY123" s="189"/>
      <c r="BZ123" s="189"/>
      <c r="CA123" s="194"/>
      <c r="CB123" s="281"/>
      <c r="CC123" s="279"/>
      <c r="CD123" s="279"/>
      <c r="CE123" s="189"/>
      <c r="CF123" s="189"/>
      <c r="CG123" s="189"/>
      <c r="CH123" s="189"/>
      <c r="CI123" s="194"/>
      <c r="CJ123" s="281"/>
      <c r="CK123" s="279"/>
      <c r="CL123" s="279"/>
      <c r="CM123" s="189"/>
      <c r="CN123" s="189"/>
      <c r="CO123" s="189"/>
      <c r="CP123" s="189"/>
      <c r="CQ123" s="194"/>
      <c r="CR123" s="281"/>
      <c r="CS123" s="279"/>
      <c r="CT123" s="279"/>
      <c r="CU123" s="189"/>
      <c r="CV123" s="189"/>
      <c r="CW123" s="189"/>
      <c r="CX123" s="189"/>
      <c r="CY123" s="194"/>
      <c r="CZ123" s="281"/>
      <c r="DA123" s="279"/>
      <c r="DB123" s="279"/>
      <c r="DC123" s="189"/>
      <c r="DD123" s="189"/>
      <c r="DE123" s="189"/>
      <c r="DF123" s="189"/>
      <c r="DG123" s="194"/>
      <c r="DH123" s="281"/>
      <c r="DI123" s="279"/>
      <c r="DJ123" s="279"/>
      <c r="DK123" s="189"/>
      <c r="DL123" s="189"/>
      <c r="DM123" s="189"/>
      <c r="DN123" s="189"/>
      <c r="DO123" s="194"/>
      <c r="DP123" s="281"/>
      <c r="DQ123" s="279"/>
      <c r="DR123" s="279"/>
      <c r="DS123" s="189"/>
      <c r="DT123" s="189"/>
      <c r="DU123" s="189"/>
      <c r="DV123" s="189"/>
      <c r="DW123" s="194"/>
      <c r="DX123" s="281"/>
      <c r="DY123" s="279"/>
      <c r="DZ123" s="279"/>
      <c r="EA123" s="189"/>
      <c r="EB123" s="189"/>
      <c r="EC123" s="189"/>
      <c r="ED123" s="189"/>
      <c r="EE123" s="194"/>
      <c r="EF123" s="281"/>
      <c r="EG123" s="279"/>
      <c r="EH123" s="279"/>
      <c r="EI123" s="189"/>
      <c r="EJ123" s="189"/>
      <c r="EK123" s="189"/>
      <c r="EL123" s="189"/>
      <c r="EM123" s="194"/>
      <c r="EN123" s="281"/>
      <c r="EO123" s="279"/>
      <c r="EP123" s="279"/>
      <c r="EQ123" s="189"/>
      <c r="ER123" s="189"/>
      <c r="ES123" s="189"/>
      <c r="ET123" s="189"/>
      <c r="EU123" s="194"/>
      <c r="EV123" s="281"/>
      <c r="EW123" s="279"/>
      <c r="EX123" s="279"/>
      <c r="EY123" s="189"/>
      <c r="EZ123" s="189"/>
      <c r="FA123" s="189"/>
      <c r="FB123" s="189"/>
      <c r="FC123" s="194"/>
      <c r="FD123" s="281"/>
      <c r="FE123" s="279"/>
      <c r="FF123" s="279"/>
      <c r="FG123" s="189"/>
      <c r="FH123" s="189"/>
      <c r="FI123" s="189"/>
      <c r="FJ123" s="189"/>
      <c r="FK123" s="194"/>
      <c r="FL123" s="281"/>
      <c r="FM123" s="279"/>
      <c r="FN123" s="279"/>
      <c r="FO123" s="189"/>
      <c r="FP123" s="189"/>
      <c r="FQ123" s="189"/>
      <c r="FR123" s="189"/>
      <c r="FS123" s="194"/>
      <c r="FT123" s="281"/>
      <c r="FU123" s="279"/>
      <c r="FV123" s="279"/>
      <c r="FW123" s="189"/>
      <c r="FX123" s="189"/>
      <c r="FY123" s="189"/>
      <c r="FZ123" s="189"/>
      <c r="GA123" s="194"/>
      <c r="GB123" s="281"/>
      <c r="GC123" s="279"/>
      <c r="GD123" s="279"/>
      <c r="GE123" s="189"/>
      <c r="GF123" s="189"/>
      <c r="GG123" s="189"/>
      <c r="GH123" s="189"/>
      <c r="GI123" s="194"/>
      <c r="GJ123" s="281"/>
      <c r="GK123" s="279"/>
      <c r="GL123" s="279"/>
      <c r="GM123" s="189"/>
      <c r="GN123" s="189"/>
      <c r="GO123" s="189"/>
      <c r="GP123" s="189"/>
      <c r="GQ123" s="194"/>
      <c r="GR123" s="281"/>
      <c r="GS123" s="279"/>
      <c r="GT123" s="279"/>
      <c r="GU123" s="189"/>
      <c r="GV123" s="189"/>
      <c r="GW123" s="189"/>
      <c r="GX123" s="189"/>
      <c r="GY123" s="194"/>
      <c r="GZ123" s="281"/>
      <c r="HA123" s="279"/>
      <c r="HB123" s="279"/>
      <c r="HC123" s="189"/>
      <c r="HD123" s="189"/>
      <c r="HE123" s="189"/>
      <c r="HF123" s="189"/>
      <c r="HG123" s="194"/>
      <c r="HH123" s="281"/>
      <c r="HI123" s="279"/>
      <c r="HJ123" s="279"/>
      <c r="HK123" s="189"/>
      <c r="HL123" s="189"/>
      <c r="HM123" s="189"/>
      <c r="HN123" s="189"/>
      <c r="HO123" s="194"/>
      <c r="HP123" s="281"/>
      <c r="HQ123" s="279"/>
      <c r="HR123" s="279"/>
      <c r="HS123" s="189"/>
      <c r="HT123" s="189"/>
      <c r="HU123" s="189"/>
      <c r="HV123" s="189"/>
      <c r="HW123" s="194"/>
      <c r="HX123" s="281"/>
      <c r="HY123" s="279"/>
      <c r="HZ123" s="279"/>
      <c r="IA123" s="189"/>
      <c r="IB123" s="189"/>
      <c r="IC123" s="189"/>
      <c r="ID123" s="189"/>
      <c r="IE123" s="194"/>
      <c r="IF123" s="281"/>
      <c r="IG123" s="279"/>
      <c r="IH123" s="279"/>
      <c r="II123" s="189"/>
      <c r="IJ123" s="189"/>
      <c r="IK123" s="189"/>
      <c r="IL123" s="189"/>
    </row>
    <row r="124" spans="1:246" s="188" customFormat="1" ht="12.75">
      <c r="A124" s="227"/>
      <c r="B124" s="47" t="s">
        <v>413</v>
      </c>
      <c r="C124" s="212"/>
      <c r="D124" s="212"/>
      <c r="E124" s="215"/>
      <c r="F124" s="215"/>
      <c r="G124" s="207">
        <f>SUM(G109:G123)</f>
        <v>7631</v>
      </c>
      <c r="H124" s="364">
        <f>SUM(H109:H123)</f>
        <v>588148</v>
      </c>
      <c r="I124" s="227">
        <v>1</v>
      </c>
      <c r="J124" s="277"/>
      <c r="K124" s="215" t="s">
        <v>238</v>
      </c>
      <c r="L124" s="215" t="s">
        <v>122</v>
      </c>
      <c r="M124" s="205" t="s">
        <v>122</v>
      </c>
      <c r="N124" s="205" t="s">
        <v>122</v>
      </c>
      <c r="O124" s="205" t="s">
        <v>122</v>
      </c>
      <c r="P124" s="278" t="s">
        <v>239</v>
      </c>
      <c r="Q124" s="279"/>
      <c r="R124" s="279"/>
      <c r="S124" s="189"/>
      <c r="T124" s="189"/>
      <c r="U124" s="189"/>
      <c r="V124" s="189"/>
      <c r="W124" s="194"/>
      <c r="X124" s="281"/>
      <c r="Y124" s="279"/>
      <c r="Z124" s="279"/>
      <c r="AA124" s="189"/>
      <c r="AB124" s="189"/>
      <c r="AC124" s="189"/>
      <c r="AD124" s="189"/>
      <c r="AE124" s="194"/>
      <c r="AF124" s="281"/>
      <c r="AG124" s="279"/>
      <c r="AH124" s="279"/>
      <c r="AI124" s="189"/>
      <c r="AJ124" s="189"/>
      <c r="AK124" s="189"/>
      <c r="AL124" s="189"/>
      <c r="AM124" s="194"/>
      <c r="AN124" s="281"/>
      <c r="AO124" s="279"/>
      <c r="AP124" s="279"/>
      <c r="AQ124" s="189"/>
      <c r="AR124" s="189"/>
      <c r="AS124" s="189"/>
      <c r="AT124" s="189"/>
      <c r="AU124" s="194"/>
      <c r="AV124" s="281"/>
      <c r="AW124" s="279"/>
      <c r="AX124" s="279"/>
      <c r="AY124" s="189"/>
      <c r="AZ124" s="189"/>
      <c r="BA124" s="189"/>
      <c r="BB124" s="189"/>
      <c r="BC124" s="194"/>
      <c r="BD124" s="281"/>
      <c r="BE124" s="279"/>
      <c r="BF124" s="279"/>
      <c r="BG124" s="189"/>
      <c r="BH124" s="189"/>
      <c r="BI124" s="189"/>
      <c r="BJ124" s="189"/>
      <c r="BK124" s="194"/>
      <c r="BL124" s="281"/>
      <c r="BM124" s="279"/>
      <c r="BN124" s="279"/>
      <c r="BO124" s="189"/>
      <c r="BP124" s="189"/>
      <c r="BQ124" s="189"/>
      <c r="BR124" s="189"/>
      <c r="BS124" s="194"/>
      <c r="BT124" s="281"/>
      <c r="BU124" s="279"/>
      <c r="BV124" s="279"/>
      <c r="BW124" s="189"/>
      <c r="BX124" s="189"/>
      <c r="BY124" s="189"/>
      <c r="BZ124" s="189"/>
      <c r="CA124" s="194"/>
      <c r="CB124" s="281"/>
      <c r="CC124" s="279"/>
      <c r="CD124" s="279"/>
      <c r="CE124" s="189"/>
      <c r="CF124" s="189"/>
      <c r="CG124" s="189"/>
      <c r="CH124" s="189"/>
      <c r="CI124" s="194"/>
      <c r="CJ124" s="281"/>
      <c r="CK124" s="279"/>
      <c r="CL124" s="279"/>
      <c r="CM124" s="189"/>
      <c r="CN124" s="189"/>
      <c r="CO124" s="189"/>
      <c r="CP124" s="189"/>
      <c r="CQ124" s="194"/>
      <c r="CR124" s="281"/>
      <c r="CS124" s="279"/>
      <c r="CT124" s="279"/>
      <c r="CU124" s="189"/>
      <c r="CV124" s="189"/>
      <c r="CW124" s="189"/>
      <c r="CX124" s="189"/>
      <c r="CY124" s="194"/>
      <c r="CZ124" s="281"/>
      <c r="DA124" s="279"/>
      <c r="DB124" s="279"/>
      <c r="DC124" s="189"/>
      <c r="DD124" s="189"/>
      <c r="DE124" s="189"/>
      <c r="DF124" s="189"/>
      <c r="DG124" s="194"/>
      <c r="DH124" s="281"/>
      <c r="DI124" s="279"/>
      <c r="DJ124" s="279"/>
      <c r="DK124" s="189"/>
      <c r="DL124" s="189"/>
      <c r="DM124" s="189"/>
      <c r="DN124" s="189"/>
      <c r="DO124" s="194"/>
      <c r="DP124" s="281"/>
      <c r="DQ124" s="279"/>
      <c r="DR124" s="279"/>
      <c r="DS124" s="189"/>
      <c r="DT124" s="189"/>
      <c r="DU124" s="189"/>
      <c r="DV124" s="189"/>
      <c r="DW124" s="194"/>
      <c r="DX124" s="281"/>
      <c r="DY124" s="279"/>
      <c r="DZ124" s="279"/>
      <c r="EA124" s="189"/>
      <c r="EB124" s="189"/>
      <c r="EC124" s="189"/>
      <c r="ED124" s="189"/>
      <c r="EE124" s="194"/>
      <c r="EF124" s="281"/>
      <c r="EG124" s="279"/>
      <c r="EH124" s="279"/>
      <c r="EI124" s="189"/>
      <c r="EJ124" s="189"/>
      <c r="EK124" s="189"/>
      <c r="EL124" s="189"/>
      <c r="EM124" s="194"/>
      <c r="EN124" s="281"/>
      <c r="EO124" s="279"/>
      <c r="EP124" s="279"/>
      <c r="EQ124" s="189"/>
      <c r="ER124" s="189"/>
      <c r="ES124" s="189"/>
      <c r="ET124" s="189"/>
      <c r="EU124" s="194"/>
      <c r="EV124" s="281"/>
      <c r="EW124" s="279"/>
      <c r="EX124" s="279"/>
      <c r="EY124" s="189"/>
      <c r="EZ124" s="189"/>
      <c r="FA124" s="189"/>
      <c r="FB124" s="189"/>
      <c r="FC124" s="194"/>
      <c r="FD124" s="281"/>
      <c r="FE124" s="279"/>
      <c r="FF124" s="279"/>
      <c r="FG124" s="189"/>
      <c r="FH124" s="189"/>
      <c r="FI124" s="189"/>
      <c r="FJ124" s="189"/>
      <c r="FK124" s="194"/>
      <c r="FL124" s="281"/>
      <c r="FM124" s="279"/>
      <c r="FN124" s="279"/>
      <c r="FO124" s="189"/>
      <c r="FP124" s="189"/>
      <c r="FQ124" s="189"/>
      <c r="FR124" s="189"/>
      <c r="FS124" s="194"/>
      <c r="FT124" s="281"/>
      <c r="FU124" s="279"/>
      <c r="FV124" s="279"/>
      <c r="FW124" s="189"/>
      <c r="FX124" s="189"/>
      <c r="FY124" s="189"/>
      <c r="FZ124" s="189"/>
      <c r="GA124" s="194"/>
      <c r="GB124" s="281"/>
      <c r="GC124" s="279"/>
      <c r="GD124" s="279"/>
      <c r="GE124" s="189"/>
      <c r="GF124" s="189"/>
      <c r="GG124" s="189"/>
      <c r="GH124" s="189"/>
      <c r="GI124" s="194"/>
      <c r="GJ124" s="281"/>
      <c r="GK124" s="279"/>
      <c r="GL124" s="279"/>
      <c r="GM124" s="189"/>
      <c r="GN124" s="189"/>
      <c r="GO124" s="189"/>
      <c r="GP124" s="189"/>
      <c r="GQ124" s="194"/>
      <c r="GR124" s="281"/>
      <c r="GS124" s="279"/>
      <c r="GT124" s="279"/>
      <c r="GU124" s="189"/>
      <c r="GV124" s="189"/>
      <c r="GW124" s="189"/>
      <c r="GX124" s="189"/>
      <c r="GY124" s="194"/>
      <c r="GZ124" s="281"/>
      <c r="HA124" s="279"/>
      <c r="HB124" s="279"/>
      <c r="HC124" s="189"/>
      <c r="HD124" s="189"/>
      <c r="HE124" s="189"/>
      <c r="HF124" s="189"/>
      <c r="HG124" s="194"/>
      <c r="HH124" s="281"/>
      <c r="HI124" s="279"/>
      <c r="HJ124" s="279"/>
      <c r="HK124" s="189"/>
      <c r="HL124" s="189"/>
      <c r="HM124" s="189"/>
      <c r="HN124" s="189"/>
      <c r="HO124" s="194"/>
      <c r="HP124" s="281"/>
      <c r="HQ124" s="279"/>
      <c r="HR124" s="279"/>
      <c r="HS124" s="189"/>
      <c r="HT124" s="189"/>
      <c r="HU124" s="189"/>
      <c r="HV124" s="189"/>
      <c r="HW124" s="194"/>
      <c r="HX124" s="281"/>
      <c r="HY124" s="279"/>
      <c r="HZ124" s="279"/>
      <c r="IA124" s="189"/>
      <c r="IB124" s="189"/>
      <c r="IC124" s="189"/>
      <c r="ID124" s="189"/>
      <c r="IE124" s="194"/>
      <c r="IF124" s="281"/>
      <c r="IG124" s="279"/>
      <c r="IH124" s="279"/>
      <c r="II124" s="189"/>
      <c r="IJ124" s="189"/>
      <c r="IK124" s="189"/>
      <c r="IL124" s="189"/>
    </row>
    <row r="125" spans="1:246" s="188" customFormat="1" ht="16.5" customHeight="1">
      <c r="A125" s="227"/>
      <c r="B125" s="86" t="s">
        <v>602</v>
      </c>
      <c r="C125" s="329"/>
      <c r="D125" s="329"/>
      <c r="E125" s="258"/>
      <c r="F125" s="258"/>
      <c r="G125" s="332">
        <f>G80+G89+G106+G124</f>
        <v>40901.71751999999</v>
      </c>
      <c r="H125" s="367">
        <f>H107+H124</f>
        <v>1367725.98875295</v>
      </c>
      <c r="I125" s="227"/>
      <c r="J125" s="277"/>
      <c r="K125" s="215"/>
      <c r="L125" s="215"/>
      <c r="M125" s="215"/>
      <c r="N125" s="215"/>
      <c r="O125" s="215"/>
      <c r="P125" s="276"/>
      <c r="Q125" s="279"/>
      <c r="R125" s="279"/>
      <c r="S125" s="189"/>
      <c r="T125" s="189"/>
      <c r="U125" s="189"/>
      <c r="V125" s="189"/>
      <c r="W125" s="194"/>
      <c r="X125" s="281"/>
      <c r="Y125" s="279"/>
      <c r="Z125" s="279"/>
      <c r="AA125" s="189"/>
      <c r="AB125" s="189"/>
      <c r="AC125" s="189"/>
      <c r="AD125" s="189"/>
      <c r="AE125" s="194"/>
      <c r="AF125" s="281"/>
      <c r="AG125" s="279"/>
      <c r="AH125" s="279"/>
      <c r="AI125" s="189"/>
      <c r="AJ125" s="189"/>
      <c r="AK125" s="189"/>
      <c r="AL125" s="189"/>
      <c r="AM125" s="194"/>
      <c r="AN125" s="281"/>
      <c r="AO125" s="279"/>
      <c r="AP125" s="279"/>
      <c r="AQ125" s="189"/>
      <c r="AR125" s="189"/>
      <c r="AS125" s="189"/>
      <c r="AT125" s="189"/>
      <c r="AU125" s="194"/>
      <c r="AV125" s="281"/>
      <c r="AW125" s="279"/>
      <c r="AX125" s="279"/>
      <c r="AY125" s="189"/>
      <c r="AZ125" s="189"/>
      <c r="BA125" s="189"/>
      <c r="BB125" s="189"/>
      <c r="BC125" s="194"/>
      <c r="BD125" s="281"/>
      <c r="BE125" s="279"/>
      <c r="BF125" s="279"/>
      <c r="BG125" s="189"/>
      <c r="BH125" s="189"/>
      <c r="BI125" s="189"/>
      <c r="BJ125" s="189"/>
      <c r="BK125" s="194"/>
      <c r="BL125" s="281"/>
      <c r="BM125" s="279"/>
      <c r="BN125" s="279"/>
      <c r="BO125" s="189"/>
      <c r="BP125" s="189"/>
      <c r="BQ125" s="189"/>
      <c r="BR125" s="189"/>
      <c r="BS125" s="194"/>
      <c r="BT125" s="281"/>
      <c r="BU125" s="279"/>
      <c r="BV125" s="279"/>
      <c r="BW125" s="189"/>
      <c r="BX125" s="189"/>
      <c r="BY125" s="189"/>
      <c r="BZ125" s="189"/>
      <c r="CA125" s="194"/>
      <c r="CB125" s="281"/>
      <c r="CC125" s="279"/>
      <c r="CD125" s="279"/>
      <c r="CE125" s="189"/>
      <c r="CF125" s="189"/>
      <c r="CG125" s="189"/>
      <c r="CH125" s="189"/>
      <c r="CI125" s="194"/>
      <c r="CJ125" s="281"/>
      <c r="CK125" s="279"/>
      <c r="CL125" s="279"/>
      <c r="CM125" s="189"/>
      <c r="CN125" s="189"/>
      <c r="CO125" s="189"/>
      <c r="CP125" s="189"/>
      <c r="CQ125" s="194"/>
      <c r="CR125" s="281"/>
      <c r="CS125" s="279"/>
      <c r="CT125" s="279"/>
      <c r="CU125" s="189"/>
      <c r="CV125" s="189"/>
      <c r="CW125" s="189"/>
      <c r="CX125" s="189"/>
      <c r="CY125" s="194"/>
      <c r="CZ125" s="281"/>
      <c r="DA125" s="279"/>
      <c r="DB125" s="279"/>
      <c r="DC125" s="189"/>
      <c r="DD125" s="189"/>
      <c r="DE125" s="189"/>
      <c r="DF125" s="189"/>
      <c r="DG125" s="194"/>
      <c r="DH125" s="281"/>
      <c r="DI125" s="279"/>
      <c r="DJ125" s="279"/>
      <c r="DK125" s="189"/>
      <c r="DL125" s="189"/>
      <c r="DM125" s="189"/>
      <c r="DN125" s="189"/>
      <c r="DO125" s="194"/>
      <c r="DP125" s="281"/>
      <c r="DQ125" s="279"/>
      <c r="DR125" s="279"/>
      <c r="DS125" s="189"/>
      <c r="DT125" s="189"/>
      <c r="DU125" s="189"/>
      <c r="DV125" s="189"/>
      <c r="DW125" s="194"/>
      <c r="DX125" s="281"/>
      <c r="DY125" s="279"/>
      <c r="DZ125" s="279"/>
      <c r="EA125" s="189"/>
      <c r="EB125" s="189"/>
      <c r="EC125" s="189"/>
      <c r="ED125" s="189"/>
      <c r="EE125" s="194"/>
      <c r="EF125" s="281"/>
      <c r="EG125" s="279"/>
      <c r="EH125" s="279"/>
      <c r="EI125" s="189"/>
      <c r="EJ125" s="189"/>
      <c r="EK125" s="189"/>
      <c r="EL125" s="189"/>
      <c r="EM125" s="194"/>
      <c r="EN125" s="281"/>
      <c r="EO125" s="279"/>
      <c r="EP125" s="279"/>
      <c r="EQ125" s="189"/>
      <c r="ER125" s="189"/>
      <c r="ES125" s="189"/>
      <c r="ET125" s="189"/>
      <c r="EU125" s="194"/>
      <c r="EV125" s="281"/>
      <c r="EW125" s="279"/>
      <c r="EX125" s="279"/>
      <c r="EY125" s="189"/>
      <c r="EZ125" s="189"/>
      <c r="FA125" s="189"/>
      <c r="FB125" s="189"/>
      <c r="FC125" s="194"/>
      <c r="FD125" s="281"/>
      <c r="FE125" s="279"/>
      <c r="FF125" s="279"/>
      <c r="FG125" s="189"/>
      <c r="FH125" s="189"/>
      <c r="FI125" s="189"/>
      <c r="FJ125" s="189"/>
      <c r="FK125" s="194"/>
      <c r="FL125" s="281"/>
      <c r="FM125" s="279"/>
      <c r="FN125" s="279"/>
      <c r="FO125" s="189"/>
      <c r="FP125" s="189"/>
      <c r="FQ125" s="189"/>
      <c r="FR125" s="189"/>
      <c r="FS125" s="194"/>
      <c r="FT125" s="281"/>
      <c r="FU125" s="279"/>
      <c r="FV125" s="279"/>
      <c r="FW125" s="189"/>
      <c r="FX125" s="189"/>
      <c r="FY125" s="189"/>
      <c r="FZ125" s="189"/>
      <c r="GA125" s="194"/>
      <c r="GB125" s="281"/>
      <c r="GC125" s="279"/>
      <c r="GD125" s="279"/>
      <c r="GE125" s="189"/>
      <c r="GF125" s="189"/>
      <c r="GG125" s="189"/>
      <c r="GH125" s="189"/>
      <c r="GI125" s="194"/>
      <c r="GJ125" s="281"/>
      <c r="GK125" s="279"/>
      <c r="GL125" s="279"/>
      <c r="GM125" s="189"/>
      <c r="GN125" s="189"/>
      <c r="GO125" s="189"/>
      <c r="GP125" s="189"/>
      <c r="GQ125" s="194"/>
      <c r="GR125" s="281"/>
      <c r="GS125" s="279"/>
      <c r="GT125" s="279"/>
      <c r="GU125" s="189"/>
      <c r="GV125" s="189"/>
      <c r="GW125" s="189"/>
      <c r="GX125" s="189"/>
      <c r="GY125" s="194"/>
      <c r="GZ125" s="281"/>
      <c r="HA125" s="279"/>
      <c r="HB125" s="279"/>
      <c r="HC125" s="189"/>
      <c r="HD125" s="189"/>
      <c r="HE125" s="189"/>
      <c r="HF125" s="189"/>
      <c r="HG125" s="194"/>
      <c r="HH125" s="281"/>
      <c r="HI125" s="279"/>
      <c r="HJ125" s="279"/>
      <c r="HK125" s="189"/>
      <c r="HL125" s="189"/>
      <c r="HM125" s="189"/>
      <c r="HN125" s="189"/>
      <c r="HO125" s="194"/>
      <c r="HP125" s="281"/>
      <c r="HQ125" s="279"/>
      <c r="HR125" s="279"/>
      <c r="HS125" s="189"/>
      <c r="HT125" s="189"/>
      <c r="HU125" s="189"/>
      <c r="HV125" s="189"/>
      <c r="HW125" s="194"/>
      <c r="HX125" s="281"/>
      <c r="HY125" s="279"/>
      <c r="HZ125" s="279"/>
      <c r="IA125" s="189"/>
      <c r="IB125" s="189"/>
      <c r="IC125" s="189"/>
      <c r="ID125" s="189"/>
      <c r="IE125" s="194"/>
      <c r="IF125" s="281"/>
      <c r="IG125" s="279"/>
      <c r="IH125" s="279"/>
      <c r="II125" s="189"/>
      <c r="IJ125" s="189"/>
      <c r="IK125" s="189"/>
      <c r="IL125" s="189"/>
    </row>
    <row r="126" spans="1:246" s="188" customFormat="1" ht="15" customHeight="1">
      <c r="A126" s="227">
        <v>2</v>
      </c>
      <c r="B126" s="47" t="s">
        <v>228</v>
      </c>
      <c r="C126" s="212"/>
      <c r="D126" s="212"/>
      <c r="E126" s="215"/>
      <c r="F126" s="215"/>
      <c r="G126" s="207"/>
      <c r="H126" s="367">
        <f>H128+H129+H130+H127</f>
        <v>2126938</v>
      </c>
      <c r="I126" s="423" t="s">
        <v>19</v>
      </c>
      <c r="J126" s="424"/>
      <c r="K126" s="424"/>
      <c r="L126" s="424"/>
      <c r="M126" s="424"/>
      <c r="N126" s="424"/>
      <c r="O126" s="424"/>
      <c r="P126" s="424"/>
      <c r="Q126" s="279"/>
      <c r="R126" s="279"/>
      <c r="S126" s="189"/>
      <c r="T126" s="189"/>
      <c r="U126" s="189"/>
      <c r="V126" s="189"/>
      <c r="W126" s="194"/>
      <c r="X126" s="281"/>
      <c r="Y126" s="279"/>
      <c r="Z126" s="279"/>
      <c r="AA126" s="189"/>
      <c r="AB126" s="189"/>
      <c r="AC126" s="189"/>
      <c r="AD126" s="189"/>
      <c r="AE126" s="194"/>
      <c r="AF126" s="281"/>
      <c r="AG126" s="279"/>
      <c r="AH126" s="279"/>
      <c r="AI126" s="189"/>
      <c r="AJ126" s="189"/>
      <c r="AK126" s="189"/>
      <c r="AL126" s="189"/>
      <c r="AM126" s="194"/>
      <c r="AN126" s="281"/>
      <c r="AO126" s="279"/>
      <c r="AP126" s="279"/>
      <c r="AQ126" s="189"/>
      <c r="AR126" s="189"/>
      <c r="AS126" s="189"/>
      <c r="AT126" s="189"/>
      <c r="AU126" s="194"/>
      <c r="AV126" s="281"/>
      <c r="AW126" s="279"/>
      <c r="AX126" s="279"/>
      <c r="AY126" s="189"/>
      <c r="AZ126" s="189"/>
      <c r="BA126" s="189"/>
      <c r="BB126" s="189"/>
      <c r="BC126" s="194"/>
      <c r="BD126" s="281"/>
      <c r="BE126" s="279"/>
      <c r="BF126" s="279"/>
      <c r="BG126" s="189"/>
      <c r="BH126" s="189"/>
      <c r="BI126" s="189"/>
      <c r="BJ126" s="189"/>
      <c r="BK126" s="194"/>
      <c r="BL126" s="281"/>
      <c r="BM126" s="279"/>
      <c r="BN126" s="279"/>
      <c r="BO126" s="189"/>
      <c r="BP126" s="189"/>
      <c r="BQ126" s="189"/>
      <c r="BR126" s="189"/>
      <c r="BS126" s="194"/>
      <c r="BT126" s="281"/>
      <c r="BU126" s="279"/>
      <c r="BV126" s="279"/>
      <c r="BW126" s="189"/>
      <c r="BX126" s="189"/>
      <c r="BY126" s="189"/>
      <c r="BZ126" s="189"/>
      <c r="CA126" s="194"/>
      <c r="CB126" s="281"/>
      <c r="CC126" s="279"/>
      <c r="CD126" s="279"/>
      <c r="CE126" s="189"/>
      <c r="CF126" s="189"/>
      <c r="CG126" s="189"/>
      <c r="CH126" s="189"/>
      <c r="CI126" s="194"/>
      <c r="CJ126" s="281"/>
      <c r="CK126" s="279"/>
      <c r="CL126" s="279"/>
      <c r="CM126" s="189"/>
      <c r="CN126" s="189"/>
      <c r="CO126" s="189"/>
      <c r="CP126" s="189"/>
      <c r="CQ126" s="194"/>
      <c r="CR126" s="281"/>
      <c r="CS126" s="279"/>
      <c r="CT126" s="279"/>
      <c r="CU126" s="189"/>
      <c r="CV126" s="189"/>
      <c r="CW126" s="189"/>
      <c r="CX126" s="189"/>
      <c r="CY126" s="194"/>
      <c r="CZ126" s="281"/>
      <c r="DA126" s="279"/>
      <c r="DB126" s="279"/>
      <c r="DC126" s="189"/>
      <c r="DD126" s="189"/>
      <c r="DE126" s="189"/>
      <c r="DF126" s="189"/>
      <c r="DG126" s="194"/>
      <c r="DH126" s="281"/>
      <c r="DI126" s="279"/>
      <c r="DJ126" s="279"/>
      <c r="DK126" s="189"/>
      <c r="DL126" s="189"/>
      <c r="DM126" s="189"/>
      <c r="DN126" s="189"/>
      <c r="DO126" s="194"/>
      <c r="DP126" s="281"/>
      <c r="DQ126" s="279"/>
      <c r="DR126" s="279"/>
      <c r="DS126" s="189"/>
      <c r="DT126" s="189"/>
      <c r="DU126" s="189"/>
      <c r="DV126" s="189"/>
      <c r="DW126" s="194"/>
      <c r="DX126" s="281"/>
      <c r="DY126" s="279"/>
      <c r="DZ126" s="279"/>
      <c r="EA126" s="189"/>
      <c r="EB126" s="189"/>
      <c r="EC126" s="189"/>
      <c r="ED126" s="189"/>
      <c r="EE126" s="194"/>
      <c r="EF126" s="281"/>
      <c r="EG126" s="279"/>
      <c r="EH126" s="279"/>
      <c r="EI126" s="189"/>
      <c r="EJ126" s="189"/>
      <c r="EK126" s="189"/>
      <c r="EL126" s="189"/>
      <c r="EM126" s="194"/>
      <c r="EN126" s="281"/>
      <c r="EO126" s="279"/>
      <c r="EP126" s="279"/>
      <c r="EQ126" s="189"/>
      <c r="ER126" s="189"/>
      <c r="ES126" s="189"/>
      <c r="ET126" s="189"/>
      <c r="EU126" s="194"/>
      <c r="EV126" s="281"/>
      <c r="EW126" s="279"/>
      <c r="EX126" s="279"/>
      <c r="EY126" s="189"/>
      <c r="EZ126" s="189"/>
      <c r="FA126" s="189"/>
      <c r="FB126" s="189"/>
      <c r="FC126" s="194"/>
      <c r="FD126" s="281"/>
      <c r="FE126" s="279"/>
      <c r="FF126" s="279"/>
      <c r="FG126" s="189"/>
      <c r="FH126" s="189"/>
      <c r="FI126" s="189"/>
      <c r="FJ126" s="189"/>
      <c r="FK126" s="194"/>
      <c r="FL126" s="281"/>
      <c r="FM126" s="279"/>
      <c r="FN126" s="279"/>
      <c r="FO126" s="189"/>
      <c r="FP126" s="189"/>
      <c r="FQ126" s="189"/>
      <c r="FR126" s="189"/>
      <c r="FS126" s="194"/>
      <c r="FT126" s="281"/>
      <c r="FU126" s="279"/>
      <c r="FV126" s="279"/>
      <c r="FW126" s="189"/>
      <c r="FX126" s="189"/>
      <c r="FY126" s="189"/>
      <c r="FZ126" s="189"/>
      <c r="GA126" s="194"/>
      <c r="GB126" s="281"/>
      <c r="GC126" s="279"/>
      <c r="GD126" s="279"/>
      <c r="GE126" s="189"/>
      <c r="GF126" s="189"/>
      <c r="GG126" s="189"/>
      <c r="GH126" s="189"/>
      <c r="GI126" s="194"/>
      <c r="GJ126" s="281"/>
      <c r="GK126" s="279"/>
      <c r="GL126" s="279"/>
      <c r="GM126" s="189"/>
      <c r="GN126" s="189"/>
      <c r="GO126" s="189"/>
      <c r="GP126" s="189"/>
      <c r="GQ126" s="194"/>
      <c r="GR126" s="281"/>
      <c r="GS126" s="279"/>
      <c r="GT126" s="279"/>
      <c r="GU126" s="189"/>
      <c r="GV126" s="189"/>
      <c r="GW126" s="189"/>
      <c r="GX126" s="189"/>
      <c r="GY126" s="194"/>
      <c r="GZ126" s="281"/>
      <c r="HA126" s="279"/>
      <c r="HB126" s="279"/>
      <c r="HC126" s="189"/>
      <c r="HD126" s="189"/>
      <c r="HE126" s="189"/>
      <c r="HF126" s="189"/>
      <c r="HG126" s="194"/>
      <c r="HH126" s="281"/>
      <c r="HI126" s="279"/>
      <c r="HJ126" s="279"/>
      <c r="HK126" s="189"/>
      <c r="HL126" s="189"/>
      <c r="HM126" s="189"/>
      <c r="HN126" s="189"/>
      <c r="HO126" s="194"/>
      <c r="HP126" s="281"/>
      <c r="HQ126" s="279"/>
      <c r="HR126" s="279"/>
      <c r="HS126" s="189"/>
      <c r="HT126" s="189"/>
      <c r="HU126" s="189"/>
      <c r="HV126" s="189"/>
      <c r="HW126" s="194"/>
      <c r="HX126" s="281"/>
      <c r="HY126" s="279"/>
      <c r="HZ126" s="279"/>
      <c r="IA126" s="189"/>
      <c r="IB126" s="189"/>
      <c r="IC126" s="189"/>
      <c r="ID126" s="189"/>
      <c r="IE126" s="194"/>
      <c r="IF126" s="281"/>
      <c r="IG126" s="279"/>
      <c r="IH126" s="279"/>
      <c r="II126" s="189"/>
      <c r="IJ126" s="189"/>
      <c r="IK126" s="189"/>
      <c r="IL126" s="189"/>
    </row>
    <row r="127" spans="1:246" s="188" customFormat="1" ht="12.75" customHeight="1">
      <c r="A127" s="227"/>
      <c r="B127" s="388" t="s">
        <v>656</v>
      </c>
      <c r="C127" s="354"/>
      <c r="D127" s="354"/>
      <c r="E127" s="389"/>
      <c r="F127" s="389"/>
      <c r="G127" s="390"/>
      <c r="H127" s="391">
        <v>1823938</v>
      </c>
      <c r="I127" s="401" t="s">
        <v>20</v>
      </c>
      <c r="J127" s="395"/>
      <c r="K127" s="395"/>
      <c r="L127" s="395"/>
      <c r="M127" s="395"/>
      <c r="N127" s="395"/>
      <c r="O127" s="395"/>
      <c r="P127" s="395"/>
      <c r="Q127" s="279"/>
      <c r="R127" s="279"/>
      <c r="S127" s="189"/>
      <c r="T127" s="189"/>
      <c r="U127" s="189"/>
      <c r="V127" s="189"/>
      <c r="W127" s="194"/>
      <c r="X127" s="281"/>
      <c r="Y127" s="279"/>
      <c r="Z127" s="279"/>
      <c r="AA127" s="189"/>
      <c r="AB127" s="189"/>
      <c r="AC127" s="189"/>
      <c r="AD127" s="189"/>
      <c r="AE127" s="194"/>
      <c r="AF127" s="281"/>
      <c r="AG127" s="279"/>
      <c r="AH127" s="279"/>
      <c r="AI127" s="189"/>
      <c r="AJ127" s="189"/>
      <c r="AK127" s="189"/>
      <c r="AL127" s="189"/>
      <c r="AM127" s="194"/>
      <c r="AN127" s="281"/>
      <c r="AO127" s="279"/>
      <c r="AP127" s="279"/>
      <c r="AQ127" s="189"/>
      <c r="AR127" s="189"/>
      <c r="AS127" s="189"/>
      <c r="AT127" s="189"/>
      <c r="AU127" s="194"/>
      <c r="AV127" s="281"/>
      <c r="AW127" s="279"/>
      <c r="AX127" s="279"/>
      <c r="AY127" s="189"/>
      <c r="AZ127" s="189"/>
      <c r="BA127" s="189"/>
      <c r="BB127" s="189"/>
      <c r="BC127" s="194"/>
      <c r="BD127" s="281"/>
      <c r="BE127" s="279"/>
      <c r="BF127" s="279"/>
      <c r="BG127" s="189"/>
      <c r="BH127" s="189"/>
      <c r="BI127" s="189"/>
      <c r="BJ127" s="189"/>
      <c r="BK127" s="194"/>
      <c r="BL127" s="281"/>
      <c r="BM127" s="279"/>
      <c r="BN127" s="279"/>
      <c r="BO127" s="189"/>
      <c r="BP127" s="189"/>
      <c r="BQ127" s="189"/>
      <c r="BR127" s="189"/>
      <c r="BS127" s="194"/>
      <c r="BT127" s="281"/>
      <c r="BU127" s="279"/>
      <c r="BV127" s="279"/>
      <c r="BW127" s="189"/>
      <c r="BX127" s="189"/>
      <c r="BY127" s="189"/>
      <c r="BZ127" s="189"/>
      <c r="CA127" s="194"/>
      <c r="CB127" s="281"/>
      <c r="CC127" s="279"/>
      <c r="CD127" s="279"/>
      <c r="CE127" s="189"/>
      <c r="CF127" s="189"/>
      <c r="CG127" s="189"/>
      <c r="CH127" s="189"/>
      <c r="CI127" s="194"/>
      <c r="CJ127" s="281"/>
      <c r="CK127" s="279"/>
      <c r="CL127" s="279"/>
      <c r="CM127" s="189"/>
      <c r="CN127" s="189"/>
      <c r="CO127" s="189"/>
      <c r="CP127" s="189"/>
      <c r="CQ127" s="194"/>
      <c r="CR127" s="281"/>
      <c r="CS127" s="279"/>
      <c r="CT127" s="279"/>
      <c r="CU127" s="189"/>
      <c r="CV127" s="189"/>
      <c r="CW127" s="189"/>
      <c r="CX127" s="189"/>
      <c r="CY127" s="194"/>
      <c r="CZ127" s="281"/>
      <c r="DA127" s="279"/>
      <c r="DB127" s="279"/>
      <c r="DC127" s="189"/>
      <c r="DD127" s="189"/>
      <c r="DE127" s="189"/>
      <c r="DF127" s="189"/>
      <c r="DG127" s="194"/>
      <c r="DH127" s="281"/>
      <c r="DI127" s="279"/>
      <c r="DJ127" s="279"/>
      <c r="DK127" s="189"/>
      <c r="DL127" s="189"/>
      <c r="DM127" s="189"/>
      <c r="DN127" s="189"/>
      <c r="DO127" s="194"/>
      <c r="DP127" s="281"/>
      <c r="DQ127" s="279"/>
      <c r="DR127" s="279"/>
      <c r="DS127" s="189"/>
      <c r="DT127" s="189"/>
      <c r="DU127" s="189"/>
      <c r="DV127" s="189"/>
      <c r="DW127" s="194"/>
      <c r="DX127" s="281"/>
      <c r="DY127" s="279"/>
      <c r="DZ127" s="279"/>
      <c r="EA127" s="189"/>
      <c r="EB127" s="189"/>
      <c r="EC127" s="189"/>
      <c r="ED127" s="189"/>
      <c r="EE127" s="194"/>
      <c r="EF127" s="281"/>
      <c r="EG127" s="279"/>
      <c r="EH127" s="279"/>
      <c r="EI127" s="189"/>
      <c r="EJ127" s="189"/>
      <c r="EK127" s="189"/>
      <c r="EL127" s="189"/>
      <c r="EM127" s="194"/>
      <c r="EN127" s="281"/>
      <c r="EO127" s="279"/>
      <c r="EP127" s="279"/>
      <c r="EQ127" s="189"/>
      <c r="ER127" s="189"/>
      <c r="ES127" s="189"/>
      <c r="ET127" s="189"/>
      <c r="EU127" s="194"/>
      <c r="EV127" s="281"/>
      <c r="EW127" s="279"/>
      <c r="EX127" s="279"/>
      <c r="EY127" s="189"/>
      <c r="EZ127" s="189"/>
      <c r="FA127" s="189"/>
      <c r="FB127" s="189"/>
      <c r="FC127" s="194"/>
      <c r="FD127" s="281"/>
      <c r="FE127" s="279"/>
      <c r="FF127" s="279"/>
      <c r="FG127" s="189"/>
      <c r="FH127" s="189"/>
      <c r="FI127" s="189"/>
      <c r="FJ127" s="189"/>
      <c r="FK127" s="194"/>
      <c r="FL127" s="281"/>
      <c r="FM127" s="279"/>
      <c r="FN127" s="279"/>
      <c r="FO127" s="189"/>
      <c r="FP127" s="189"/>
      <c r="FQ127" s="189"/>
      <c r="FR127" s="189"/>
      <c r="FS127" s="194"/>
      <c r="FT127" s="281"/>
      <c r="FU127" s="279"/>
      <c r="FV127" s="279"/>
      <c r="FW127" s="189"/>
      <c r="FX127" s="189"/>
      <c r="FY127" s="189"/>
      <c r="FZ127" s="189"/>
      <c r="GA127" s="194"/>
      <c r="GB127" s="281"/>
      <c r="GC127" s="279"/>
      <c r="GD127" s="279"/>
      <c r="GE127" s="189"/>
      <c r="GF127" s="189"/>
      <c r="GG127" s="189"/>
      <c r="GH127" s="189"/>
      <c r="GI127" s="194"/>
      <c r="GJ127" s="281"/>
      <c r="GK127" s="279"/>
      <c r="GL127" s="279"/>
      <c r="GM127" s="189"/>
      <c r="GN127" s="189"/>
      <c r="GO127" s="189"/>
      <c r="GP127" s="189"/>
      <c r="GQ127" s="194"/>
      <c r="GR127" s="281"/>
      <c r="GS127" s="279"/>
      <c r="GT127" s="279"/>
      <c r="GU127" s="189"/>
      <c r="GV127" s="189"/>
      <c r="GW127" s="189"/>
      <c r="GX127" s="189"/>
      <c r="GY127" s="194"/>
      <c r="GZ127" s="281"/>
      <c r="HA127" s="279"/>
      <c r="HB127" s="279"/>
      <c r="HC127" s="189"/>
      <c r="HD127" s="189"/>
      <c r="HE127" s="189"/>
      <c r="HF127" s="189"/>
      <c r="HG127" s="194"/>
      <c r="HH127" s="281"/>
      <c r="HI127" s="279"/>
      <c r="HJ127" s="279"/>
      <c r="HK127" s="189"/>
      <c r="HL127" s="189"/>
      <c r="HM127" s="189"/>
      <c r="HN127" s="189"/>
      <c r="HO127" s="194"/>
      <c r="HP127" s="281"/>
      <c r="HQ127" s="279"/>
      <c r="HR127" s="279"/>
      <c r="HS127" s="189"/>
      <c r="HT127" s="189"/>
      <c r="HU127" s="189"/>
      <c r="HV127" s="189"/>
      <c r="HW127" s="194"/>
      <c r="HX127" s="281"/>
      <c r="HY127" s="279"/>
      <c r="HZ127" s="279"/>
      <c r="IA127" s="189"/>
      <c r="IB127" s="189"/>
      <c r="IC127" s="189"/>
      <c r="ID127" s="189"/>
      <c r="IE127" s="194"/>
      <c r="IF127" s="281"/>
      <c r="IG127" s="279"/>
      <c r="IH127" s="279"/>
      <c r="II127" s="189"/>
      <c r="IJ127" s="189"/>
      <c r="IK127" s="189"/>
      <c r="IL127" s="189"/>
    </row>
    <row r="128" spans="1:246" s="188" customFormat="1" ht="12.75">
      <c r="A128" s="227">
        <v>1</v>
      </c>
      <c r="B128" s="244" t="s">
        <v>557</v>
      </c>
      <c r="C128" s="212"/>
      <c r="D128" s="212"/>
      <c r="E128" s="215"/>
      <c r="F128" s="215"/>
      <c r="G128" s="207"/>
      <c r="H128" s="368">
        <v>3000</v>
      </c>
      <c r="I128" s="212">
        <v>1</v>
      </c>
      <c r="J128" s="208" t="s">
        <v>297</v>
      </c>
      <c r="K128" s="51"/>
      <c r="L128" s="51"/>
      <c r="M128" s="215"/>
      <c r="N128" s="215"/>
      <c r="O128" s="215"/>
      <c r="P128" s="223"/>
      <c r="Q128" s="279"/>
      <c r="R128" s="279"/>
      <c r="S128" s="189"/>
      <c r="T128" s="189"/>
      <c r="U128" s="189"/>
      <c r="V128" s="189"/>
      <c r="W128" s="194"/>
      <c r="X128" s="281"/>
      <c r="Y128" s="279"/>
      <c r="Z128" s="279"/>
      <c r="AA128" s="189"/>
      <c r="AB128" s="189"/>
      <c r="AC128" s="189"/>
      <c r="AD128" s="189"/>
      <c r="AE128" s="194"/>
      <c r="AF128" s="281"/>
      <c r="AG128" s="279"/>
      <c r="AH128" s="279"/>
      <c r="AI128" s="189"/>
      <c r="AJ128" s="189"/>
      <c r="AK128" s="189"/>
      <c r="AL128" s="189"/>
      <c r="AM128" s="194"/>
      <c r="AN128" s="281"/>
      <c r="AO128" s="279"/>
      <c r="AP128" s="279"/>
      <c r="AQ128" s="189"/>
      <c r="AR128" s="189"/>
      <c r="AS128" s="189"/>
      <c r="AT128" s="189"/>
      <c r="AU128" s="194"/>
      <c r="AV128" s="281"/>
      <c r="AW128" s="279"/>
      <c r="AX128" s="279"/>
      <c r="AY128" s="189"/>
      <c r="AZ128" s="189"/>
      <c r="BA128" s="189"/>
      <c r="BB128" s="189"/>
      <c r="BC128" s="194"/>
      <c r="BD128" s="281"/>
      <c r="BE128" s="279"/>
      <c r="BF128" s="279"/>
      <c r="BG128" s="189"/>
      <c r="BH128" s="189"/>
      <c r="BI128" s="189"/>
      <c r="BJ128" s="189"/>
      <c r="BK128" s="194"/>
      <c r="BL128" s="281"/>
      <c r="BM128" s="279"/>
      <c r="BN128" s="279"/>
      <c r="BO128" s="189"/>
      <c r="BP128" s="189"/>
      <c r="BQ128" s="189"/>
      <c r="BR128" s="189"/>
      <c r="BS128" s="194"/>
      <c r="BT128" s="281"/>
      <c r="BU128" s="279"/>
      <c r="BV128" s="279"/>
      <c r="BW128" s="189"/>
      <c r="BX128" s="189"/>
      <c r="BY128" s="189"/>
      <c r="BZ128" s="189"/>
      <c r="CA128" s="194"/>
      <c r="CB128" s="281"/>
      <c r="CC128" s="279"/>
      <c r="CD128" s="279"/>
      <c r="CE128" s="189"/>
      <c r="CF128" s="189"/>
      <c r="CG128" s="189"/>
      <c r="CH128" s="189"/>
      <c r="CI128" s="194"/>
      <c r="CJ128" s="281"/>
      <c r="CK128" s="279"/>
      <c r="CL128" s="279"/>
      <c r="CM128" s="189"/>
      <c r="CN128" s="189"/>
      <c r="CO128" s="189"/>
      <c r="CP128" s="189"/>
      <c r="CQ128" s="194"/>
      <c r="CR128" s="281"/>
      <c r="CS128" s="279"/>
      <c r="CT128" s="279"/>
      <c r="CU128" s="189"/>
      <c r="CV128" s="189"/>
      <c r="CW128" s="189"/>
      <c r="CX128" s="189"/>
      <c r="CY128" s="194"/>
      <c r="CZ128" s="281"/>
      <c r="DA128" s="279"/>
      <c r="DB128" s="279"/>
      <c r="DC128" s="189"/>
      <c r="DD128" s="189"/>
      <c r="DE128" s="189"/>
      <c r="DF128" s="189"/>
      <c r="DG128" s="194"/>
      <c r="DH128" s="281"/>
      <c r="DI128" s="279"/>
      <c r="DJ128" s="279"/>
      <c r="DK128" s="189"/>
      <c r="DL128" s="189"/>
      <c r="DM128" s="189"/>
      <c r="DN128" s="189"/>
      <c r="DO128" s="194"/>
      <c r="DP128" s="281"/>
      <c r="DQ128" s="279"/>
      <c r="DR128" s="279"/>
      <c r="DS128" s="189"/>
      <c r="DT128" s="189"/>
      <c r="DU128" s="189"/>
      <c r="DV128" s="189"/>
      <c r="DW128" s="194"/>
      <c r="DX128" s="281"/>
      <c r="DY128" s="279"/>
      <c r="DZ128" s="279"/>
      <c r="EA128" s="189"/>
      <c r="EB128" s="189"/>
      <c r="EC128" s="189"/>
      <c r="ED128" s="189"/>
      <c r="EE128" s="194"/>
      <c r="EF128" s="281"/>
      <c r="EG128" s="279"/>
      <c r="EH128" s="279"/>
      <c r="EI128" s="189"/>
      <c r="EJ128" s="189"/>
      <c r="EK128" s="189"/>
      <c r="EL128" s="189"/>
      <c r="EM128" s="194"/>
      <c r="EN128" s="281"/>
      <c r="EO128" s="279"/>
      <c r="EP128" s="279"/>
      <c r="EQ128" s="189"/>
      <c r="ER128" s="189"/>
      <c r="ES128" s="189"/>
      <c r="ET128" s="189"/>
      <c r="EU128" s="194"/>
      <c r="EV128" s="281"/>
      <c r="EW128" s="279"/>
      <c r="EX128" s="279"/>
      <c r="EY128" s="189"/>
      <c r="EZ128" s="189"/>
      <c r="FA128" s="189"/>
      <c r="FB128" s="189"/>
      <c r="FC128" s="194"/>
      <c r="FD128" s="281"/>
      <c r="FE128" s="279"/>
      <c r="FF128" s="279"/>
      <c r="FG128" s="189"/>
      <c r="FH128" s="189"/>
      <c r="FI128" s="189"/>
      <c r="FJ128" s="189"/>
      <c r="FK128" s="194"/>
      <c r="FL128" s="281"/>
      <c r="FM128" s="279"/>
      <c r="FN128" s="279"/>
      <c r="FO128" s="189"/>
      <c r="FP128" s="189"/>
      <c r="FQ128" s="189"/>
      <c r="FR128" s="189"/>
      <c r="FS128" s="194"/>
      <c r="FT128" s="281"/>
      <c r="FU128" s="279"/>
      <c r="FV128" s="279"/>
      <c r="FW128" s="189"/>
      <c r="FX128" s="189"/>
      <c r="FY128" s="189"/>
      <c r="FZ128" s="189"/>
      <c r="GA128" s="194"/>
      <c r="GB128" s="281"/>
      <c r="GC128" s="279"/>
      <c r="GD128" s="279"/>
      <c r="GE128" s="189"/>
      <c r="GF128" s="189"/>
      <c r="GG128" s="189"/>
      <c r="GH128" s="189"/>
      <c r="GI128" s="194"/>
      <c r="GJ128" s="281"/>
      <c r="GK128" s="279"/>
      <c r="GL128" s="279"/>
      <c r="GM128" s="189"/>
      <c r="GN128" s="189"/>
      <c r="GO128" s="189"/>
      <c r="GP128" s="189"/>
      <c r="GQ128" s="194"/>
      <c r="GR128" s="281"/>
      <c r="GS128" s="279"/>
      <c r="GT128" s="279"/>
      <c r="GU128" s="189"/>
      <c r="GV128" s="189"/>
      <c r="GW128" s="189"/>
      <c r="GX128" s="189"/>
      <c r="GY128" s="194"/>
      <c r="GZ128" s="281"/>
      <c r="HA128" s="279"/>
      <c r="HB128" s="279"/>
      <c r="HC128" s="189"/>
      <c r="HD128" s="189"/>
      <c r="HE128" s="189"/>
      <c r="HF128" s="189"/>
      <c r="HG128" s="194"/>
      <c r="HH128" s="281"/>
      <c r="HI128" s="279"/>
      <c r="HJ128" s="279"/>
      <c r="HK128" s="189"/>
      <c r="HL128" s="189"/>
      <c r="HM128" s="189"/>
      <c r="HN128" s="189"/>
      <c r="HO128" s="194"/>
      <c r="HP128" s="281"/>
      <c r="HQ128" s="279"/>
      <c r="HR128" s="279"/>
      <c r="HS128" s="189"/>
      <c r="HT128" s="189"/>
      <c r="HU128" s="189"/>
      <c r="HV128" s="189"/>
      <c r="HW128" s="194"/>
      <c r="HX128" s="281"/>
      <c r="HY128" s="279"/>
      <c r="HZ128" s="279"/>
      <c r="IA128" s="189"/>
      <c r="IB128" s="189"/>
      <c r="IC128" s="189"/>
      <c r="ID128" s="189"/>
      <c r="IE128" s="194"/>
      <c r="IF128" s="281"/>
      <c r="IG128" s="279"/>
      <c r="IH128" s="279"/>
      <c r="II128" s="189"/>
      <c r="IJ128" s="189"/>
      <c r="IK128" s="189"/>
      <c r="IL128" s="189"/>
    </row>
    <row r="129" spans="1:246" s="188" customFormat="1" ht="14.25">
      <c r="A129" s="227">
        <v>2</v>
      </c>
      <c r="B129" s="244" t="s">
        <v>67</v>
      </c>
      <c r="C129" s="212"/>
      <c r="D129" s="212"/>
      <c r="E129" s="215"/>
      <c r="F129" s="215"/>
      <c r="G129" s="260"/>
      <c r="H129" s="361">
        <v>150000</v>
      </c>
      <c r="I129" s="51"/>
      <c r="J129" s="256" t="s">
        <v>82</v>
      </c>
      <c r="K129" s="212" t="s">
        <v>61</v>
      </c>
      <c r="L129" s="212">
        <v>118</v>
      </c>
      <c r="M129" s="269">
        <v>1</v>
      </c>
      <c r="N129" s="216">
        <v>1</v>
      </c>
      <c r="O129" s="215">
        <f aca="true" t="shared" si="9" ref="O129:O138">L129*M129*N129</f>
        <v>118</v>
      </c>
      <c r="P129" s="219">
        <f aca="true" t="shared" si="10" ref="P129:P177">917978/59164.34*O129</f>
        <v>1830.856289447326</v>
      </c>
      <c r="Q129" s="279"/>
      <c r="R129" s="279"/>
      <c r="S129" s="189"/>
      <c r="T129" s="189"/>
      <c r="U129" s="189"/>
      <c r="V129" s="189"/>
      <c r="W129" s="194"/>
      <c r="X129" s="281"/>
      <c r="Y129" s="279"/>
      <c r="Z129" s="279"/>
      <c r="AA129" s="189"/>
      <c r="AB129" s="189"/>
      <c r="AC129" s="189"/>
      <c r="AD129" s="189"/>
      <c r="AE129" s="194"/>
      <c r="AF129" s="281"/>
      <c r="AG129" s="279"/>
      <c r="AH129" s="279"/>
      <c r="AI129" s="189"/>
      <c r="AJ129" s="189"/>
      <c r="AK129" s="189"/>
      <c r="AL129" s="189"/>
      <c r="AM129" s="194"/>
      <c r="AN129" s="281"/>
      <c r="AO129" s="279"/>
      <c r="AP129" s="279"/>
      <c r="AQ129" s="189"/>
      <c r="AR129" s="189"/>
      <c r="AS129" s="189"/>
      <c r="AT129" s="189"/>
      <c r="AU129" s="194"/>
      <c r="AV129" s="281"/>
      <c r="AW129" s="279"/>
      <c r="AX129" s="279"/>
      <c r="AY129" s="189"/>
      <c r="AZ129" s="189"/>
      <c r="BA129" s="189"/>
      <c r="BB129" s="189"/>
      <c r="BC129" s="194"/>
      <c r="BD129" s="281"/>
      <c r="BE129" s="279"/>
      <c r="BF129" s="279"/>
      <c r="BG129" s="189"/>
      <c r="BH129" s="189"/>
      <c r="BI129" s="189"/>
      <c r="BJ129" s="189"/>
      <c r="BK129" s="194"/>
      <c r="BL129" s="281"/>
      <c r="BM129" s="279"/>
      <c r="BN129" s="279"/>
      <c r="BO129" s="189"/>
      <c r="BP129" s="189"/>
      <c r="BQ129" s="189"/>
      <c r="BR129" s="189"/>
      <c r="BS129" s="194"/>
      <c r="BT129" s="281"/>
      <c r="BU129" s="279"/>
      <c r="BV129" s="279"/>
      <c r="BW129" s="189"/>
      <c r="BX129" s="189"/>
      <c r="BY129" s="189"/>
      <c r="BZ129" s="189"/>
      <c r="CA129" s="194"/>
      <c r="CB129" s="281"/>
      <c r="CC129" s="279"/>
      <c r="CD129" s="279"/>
      <c r="CE129" s="189"/>
      <c r="CF129" s="189"/>
      <c r="CG129" s="189"/>
      <c r="CH129" s="189"/>
      <c r="CI129" s="194"/>
      <c r="CJ129" s="281"/>
      <c r="CK129" s="279"/>
      <c r="CL129" s="279"/>
      <c r="CM129" s="189"/>
      <c r="CN129" s="189"/>
      <c r="CO129" s="189"/>
      <c r="CP129" s="189"/>
      <c r="CQ129" s="194"/>
      <c r="CR129" s="281"/>
      <c r="CS129" s="279"/>
      <c r="CT129" s="279"/>
      <c r="CU129" s="189"/>
      <c r="CV129" s="189"/>
      <c r="CW129" s="189"/>
      <c r="CX129" s="189"/>
      <c r="CY129" s="194"/>
      <c r="CZ129" s="281"/>
      <c r="DA129" s="279"/>
      <c r="DB129" s="279"/>
      <c r="DC129" s="189"/>
      <c r="DD129" s="189"/>
      <c r="DE129" s="189"/>
      <c r="DF129" s="189"/>
      <c r="DG129" s="194"/>
      <c r="DH129" s="281"/>
      <c r="DI129" s="279"/>
      <c r="DJ129" s="279"/>
      <c r="DK129" s="189"/>
      <c r="DL129" s="189"/>
      <c r="DM129" s="189"/>
      <c r="DN129" s="189"/>
      <c r="DO129" s="194"/>
      <c r="DP129" s="281"/>
      <c r="DQ129" s="279"/>
      <c r="DR129" s="279"/>
      <c r="DS129" s="189"/>
      <c r="DT129" s="189"/>
      <c r="DU129" s="189"/>
      <c r="DV129" s="189"/>
      <c r="DW129" s="194"/>
      <c r="DX129" s="281"/>
      <c r="DY129" s="279"/>
      <c r="DZ129" s="279"/>
      <c r="EA129" s="189"/>
      <c r="EB129" s="189"/>
      <c r="EC129" s="189"/>
      <c r="ED129" s="189"/>
      <c r="EE129" s="194"/>
      <c r="EF129" s="281"/>
      <c r="EG129" s="279"/>
      <c r="EH129" s="279"/>
      <c r="EI129" s="189"/>
      <c r="EJ129" s="189"/>
      <c r="EK129" s="189"/>
      <c r="EL129" s="189"/>
      <c r="EM129" s="194"/>
      <c r="EN129" s="281"/>
      <c r="EO129" s="279"/>
      <c r="EP129" s="279"/>
      <c r="EQ129" s="189"/>
      <c r="ER129" s="189"/>
      <c r="ES129" s="189"/>
      <c r="ET129" s="189"/>
      <c r="EU129" s="194"/>
      <c r="EV129" s="281"/>
      <c r="EW129" s="279"/>
      <c r="EX129" s="279"/>
      <c r="EY129" s="189"/>
      <c r="EZ129" s="189"/>
      <c r="FA129" s="189"/>
      <c r="FB129" s="189"/>
      <c r="FC129" s="194"/>
      <c r="FD129" s="281"/>
      <c r="FE129" s="279"/>
      <c r="FF129" s="279"/>
      <c r="FG129" s="189"/>
      <c r="FH129" s="189"/>
      <c r="FI129" s="189"/>
      <c r="FJ129" s="189"/>
      <c r="FK129" s="194"/>
      <c r="FL129" s="281"/>
      <c r="FM129" s="279"/>
      <c r="FN129" s="279"/>
      <c r="FO129" s="189"/>
      <c r="FP129" s="189"/>
      <c r="FQ129" s="189"/>
      <c r="FR129" s="189"/>
      <c r="FS129" s="194"/>
      <c r="FT129" s="281"/>
      <c r="FU129" s="279"/>
      <c r="FV129" s="279"/>
      <c r="FW129" s="189"/>
      <c r="FX129" s="189"/>
      <c r="FY129" s="189"/>
      <c r="FZ129" s="189"/>
      <c r="GA129" s="194"/>
      <c r="GB129" s="281"/>
      <c r="GC129" s="279"/>
      <c r="GD129" s="279"/>
      <c r="GE129" s="189"/>
      <c r="GF129" s="189"/>
      <c r="GG129" s="189"/>
      <c r="GH129" s="189"/>
      <c r="GI129" s="194"/>
      <c r="GJ129" s="281"/>
      <c r="GK129" s="279"/>
      <c r="GL129" s="279"/>
      <c r="GM129" s="189"/>
      <c r="GN129" s="189"/>
      <c r="GO129" s="189"/>
      <c r="GP129" s="189"/>
      <c r="GQ129" s="194"/>
      <c r="GR129" s="281"/>
      <c r="GS129" s="279"/>
      <c r="GT129" s="279"/>
      <c r="GU129" s="189"/>
      <c r="GV129" s="189"/>
      <c r="GW129" s="189"/>
      <c r="GX129" s="189"/>
      <c r="GY129" s="194"/>
      <c r="GZ129" s="281"/>
      <c r="HA129" s="279"/>
      <c r="HB129" s="279"/>
      <c r="HC129" s="189"/>
      <c r="HD129" s="189"/>
      <c r="HE129" s="189"/>
      <c r="HF129" s="189"/>
      <c r="HG129" s="194"/>
      <c r="HH129" s="281"/>
      <c r="HI129" s="279"/>
      <c r="HJ129" s="279"/>
      <c r="HK129" s="189"/>
      <c r="HL129" s="189"/>
      <c r="HM129" s="189"/>
      <c r="HN129" s="189"/>
      <c r="HO129" s="194"/>
      <c r="HP129" s="281"/>
      <c r="HQ129" s="279"/>
      <c r="HR129" s="279"/>
      <c r="HS129" s="189"/>
      <c r="HT129" s="189"/>
      <c r="HU129" s="189"/>
      <c r="HV129" s="189"/>
      <c r="HW129" s="194"/>
      <c r="HX129" s="281"/>
      <c r="HY129" s="279"/>
      <c r="HZ129" s="279"/>
      <c r="IA129" s="189"/>
      <c r="IB129" s="189"/>
      <c r="IC129" s="189"/>
      <c r="ID129" s="189"/>
      <c r="IE129" s="194"/>
      <c r="IF129" s="281"/>
      <c r="IG129" s="279"/>
      <c r="IH129" s="279"/>
      <c r="II129" s="189"/>
      <c r="IJ129" s="189"/>
      <c r="IK129" s="189"/>
      <c r="IL129" s="189"/>
    </row>
    <row r="130" spans="1:246" s="188" customFormat="1" ht="14.25">
      <c r="A130" s="227">
        <v>3</v>
      </c>
      <c r="B130" s="51" t="s">
        <v>230</v>
      </c>
      <c r="C130" s="212"/>
      <c r="D130" s="212"/>
      <c r="E130" s="215"/>
      <c r="F130" s="215"/>
      <c r="G130" s="260"/>
      <c r="H130" s="361">
        <v>150000</v>
      </c>
      <c r="I130" s="51"/>
      <c r="J130" s="256" t="s">
        <v>83</v>
      </c>
      <c r="K130" s="212" t="s">
        <v>80</v>
      </c>
      <c r="L130" s="212">
        <v>236</v>
      </c>
      <c r="M130" s="269">
        <v>3</v>
      </c>
      <c r="N130" s="216">
        <v>0.042</v>
      </c>
      <c r="O130" s="261">
        <f t="shared" si="9"/>
        <v>29.736</v>
      </c>
      <c r="P130" s="219">
        <f t="shared" si="10"/>
        <v>461.37578494072613</v>
      </c>
      <c r="Q130" s="279"/>
      <c r="R130" s="279"/>
      <c r="S130" s="189"/>
      <c r="T130" s="189"/>
      <c r="U130" s="189"/>
      <c r="V130" s="189"/>
      <c r="W130" s="194"/>
      <c r="X130" s="281"/>
      <c r="Y130" s="279"/>
      <c r="Z130" s="279"/>
      <c r="AA130" s="189"/>
      <c r="AB130" s="189"/>
      <c r="AC130" s="189"/>
      <c r="AD130" s="189"/>
      <c r="AE130" s="194"/>
      <c r="AF130" s="281"/>
      <c r="AG130" s="279"/>
      <c r="AH130" s="279"/>
      <c r="AI130" s="189"/>
      <c r="AJ130" s="189"/>
      <c r="AK130" s="189"/>
      <c r="AL130" s="189"/>
      <c r="AM130" s="194"/>
      <c r="AN130" s="281"/>
      <c r="AO130" s="279"/>
      <c r="AP130" s="279"/>
      <c r="AQ130" s="189"/>
      <c r="AR130" s="189"/>
      <c r="AS130" s="189"/>
      <c r="AT130" s="189"/>
      <c r="AU130" s="194"/>
      <c r="AV130" s="281"/>
      <c r="AW130" s="279"/>
      <c r="AX130" s="279"/>
      <c r="AY130" s="189"/>
      <c r="AZ130" s="189"/>
      <c r="BA130" s="189"/>
      <c r="BB130" s="189"/>
      <c r="BC130" s="194"/>
      <c r="BD130" s="281"/>
      <c r="BE130" s="279"/>
      <c r="BF130" s="279"/>
      <c r="BG130" s="189"/>
      <c r="BH130" s="189"/>
      <c r="BI130" s="189"/>
      <c r="BJ130" s="189"/>
      <c r="BK130" s="194"/>
      <c r="BL130" s="281"/>
      <c r="BM130" s="279"/>
      <c r="BN130" s="279"/>
      <c r="BO130" s="189"/>
      <c r="BP130" s="189"/>
      <c r="BQ130" s="189"/>
      <c r="BR130" s="189"/>
      <c r="BS130" s="194"/>
      <c r="BT130" s="281"/>
      <c r="BU130" s="279"/>
      <c r="BV130" s="279"/>
      <c r="BW130" s="189"/>
      <c r="BX130" s="189"/>
      <c r="BY130" s="189"/>
      <c r="BZ130" s="189"/>
      <c r="CA130" s="194"/>
      <c r="CB130" s="281"/>
      <c r="CC130" s="279"/>
      <c r="CD130" s="279"/>
      <c r="CE130" s="189"/>
      <c r="CF130" s="189"/>
      <c r="CG130" s="189"/>
      <c r="CH130" s="189"/>
      <c r="CI130" s="194"/>
      <c r="CJ130" s="281"/>
      <c r="CK130" s="279"/>
      <c r="CL130" s="279"/>
      <c r="CM130" s="189"/>
      <c r="CN130" s="189"/>
      <c r="CO130" s="189"/>
      <c r="CP130" s="189"/>
      <c r="CQ130" s="194"/>
      <c r="CR130" s="281"/>
      <c r="CS130" s="279"/>
      <c r="CT130" s="279"/>
      <c r="CU130" s="189"/>
      <c r="CV130" s="189"/>
      <c r="CW130" s="189"/>
      <c r="CX130" s="189"/>
      <c r="CY130" s="194"/>
      <c r="CZ130" s="281"/>
      <c r="DA130" s="279"/>
      <c r="DB130" s="279"/>
      <c r="DC130" s="189"/>
      <c r="DD130" s="189"/>
      <c r="DE130" s="189"/>
      <c r="DF130" s="189"/>
      <c r="DG130" s="194"/>
      <c r="DH130" s="281"/>
      <c r="DI130" s="279"/>
      <c r="DJ130" s="279"/>
      <c r="DK130" s="189"/>
      <c r="DL130" s="189"/>
      <c r="DM130" s="189"/>
      <c r="DN130" s="189"/>
      <c r="DO130" s="194"/>
      <c r="DP130" s="281"/>
      <c r="DQ130" s="279"/>
      <c r="DR130" s="279"/>
      <c r="DS130" s="189"/>
      <c r="DT130" s="189"/>
      <c r="DU130" s="189"/>
      <c r="DV130" s="189"/>
      <c r="DW130" s="194"/>
      <c r="DX130" s="281"/>
      <c r="DY130" s="279"/>
      <c r="DZ130" s="279"/>
      <c r="EA130" s="189"/>
      <c r="EB130" s="189"/>
      <c r="EC130" s="189"/>
      <c r="ED130" s="189"/>
      <c r="EE130" s="194"/>
      <c r="EF130" s="281"/>
      <c r="EG130" s="279"/>
      <c r="EH130" s="279"/>
      <c r="EI130" s="189"/>
      <c r="EJ130" s="189"/>
      <c r="EK130" s="189"/>
      <c r="EL130" s="189"/>
      <c r="EM130" s="194"/>
      <c r="EN130" s="281"/>
      <c r="EO130" s="279"/>
      <c r="EP130" s="279"/>
      <c r="EQ130" s="189"/>
      <c r="ER130" s="189"/>
      <c r="ES130" s="189"/>
      <c r="ET130" s="189"/>
      <c r="EU130" s="194"/>
      <c r="EV130" s="281"/>
      <c r="EW130" s="279"/>
      <c r="EX130" s="279"/>
      <c r="EY130" s="189"/>
      <c r="EZ130" s="189"/>
      <c r="FA130" s="189"/>
      <c r="FB130" s="189"/>
      <c r="FC130" s="194"/>
      <c r="FD130" s="281"/>
      <c r="FE130" s="279"/>
      <c r="FF130" s="279"/>
      <c r="FG130" s="189"/>
      <c r="FH130" s="189"/>
      <c r="FI130" s="189"/>
      <c r="FJ130" s="189"/>
      <c r="FK130" s="194"/>
      <c r="FL130" s="281"/>
      <c r="FM130" s="279"/>
      <c r="FN130" s="279"/>
      <c r="FO130" s="189"/>
      <c r="FP130" s="189"/>
      <c r="FQ130" s="189"/>
      <c r="FR130" s="189"/>
      <c r="FS130" s="194"/>
      <c r="FT130" s="281"/>
      <c r="FU130" s="279"/>
      <c r="FV130" s="279"/>
      <c r="FW130" s="189"/>
      <c r="FX130" s="189"/>
      <c r="FY130" s="189"/>
      <c r="FZ130" s="189"/>
      <c r="GA130" s="194"/>
      <c r="GB130" s="281"/>
      <c r="GC130" s="279"/>
      <c r="GD130" s="279"/>
      <c r="GE130" s="189"/>
      <c r="GF130" s="189"/>
      <c r="GG130" s="189"/>
      <c r="GH130" s="189"/>
      <c r="GI130" s="194"/>
      <c r="GJ130" s="281"/>
      <c r="GK130" s="279"/>
      <c r="GL130" s="279"/>
      <c r="GM130" s="189"/>
      <c r="GN130" s="189"/>
      <c r="GO130" s="189"/>
      <c r="GP130" s="189"/>
      <c r="GQ130" s="194"/>
      <c r="GR130" s="281"/>
      <c r="GS130" s="279"/>
      <c r="GT130" s="279"/>
      <c r="GU130" s="189"/>
      <c r="GV130" s="189"/>
      <c r="GW130" s="189"/>
      <c r="GX130" s="189"/>
      <c r="GY130" s="194"/>
      <c r="GZ130" s="281"/>
      <c r="HA130" s="279"/>
      <c r="HB130" s="279"/>
      <c r="HC130" s="189"/>
      <c r="HD130" s="189"/>
      <c r="HE130" s="189"/>
      <c r="HF130" s="189"/>
      <c r="HG130" s="194"/>
      <c r="HH130" s="281"/>
      <c r="HI130" s="279"/>
      <c r="HJ130" s="279"/>
      <c r="HK130" s="189"/>
      <c r="HL130" s="189"/>
      <c r="HM130" s="189"/>
      <c r="HN130" s="189"/>
      <c r="HO130" s="194"/>
      <c r="HP130" s="281"/>
      <c r="HQ130" s="279"/>
      <c r="HR130" s="279"/>
      <c r="HS130" s="189"/>
      <c r="HT130" s="189"/>
      <c r="HU130" s="189"/>
      <c r="HV130" s="189"/>
      <c r="HW130" s="194"/>
      <c r="HX130" s="281"/>
      <c r="HY130" s="279"/>
      <c r="HZ130" s="279"/>
      <c r="IA130" s="189"/>
      <c r="IB130" s="189"/>
      <c r="IC130" s="189"/>
      <c r="ID130" s="189"/>
      <c r="IE130" s="194"/>
      <c r="IF130" s="281"/>
      <c r="IG130" s="279"/>
      <c r="IH130" s="279"/>
      <c r="II130" s="189"/>
      <c r="IJ130" s="189"/>
      <c r="IK130" s="189"/>
      <c r="IL130" s="189"/>
    </row>
    <row r="131" spans="1:246" s="188" customFormat="1" ht="15">
      <c r="A131" s="227"/>
      <c r="B131" s="93" t="s">
        <v>220</v>
      </c>
      <c r="C131" s="224"/>
      <c r="D131" s="210"/>
      <c r="E131" s="231"/>
      <c r="F131" s="231"/>
      <c r="G131" s="245"/>
      <c r="H131" s="369">
        <f>H125+H126</f>
        <v>3494663.98875295</v>
      </c>
      <c r="I131" s="51"/>
      <c r="J131" s="256" t="s">
        <v>291</v>
      </c>
      <c r="K131" s="212" t="s">
        <v>80</v>
      </c>
      <c r="L131" s="212">
        <v>50</v>
      </c>
      <c r="M131" s="216">
        <v>1</v>
      </c>
      <c r="N131" s="216">
        <v>1.111</v>
      </c>
      <c r="O131" s="261">
        <f t="shared" si="9"/>
        <v>55.55</v>
      </c>
      <c r="P131" s="219">
        <f t="shared" si="10"/>
        <v>861.8988718542283</v>
      </c>
      <c r="Q131" s="279"/>
      <c r="R131" s="279"/>
      <c r="S131" s="189"/>
      <c r="T131" s="189"/>
      <c r="U131" s="189"/>
      <c r="V131" s="189"/>
      <c r="W131" s="194"/>
      <c r="Y131" s="279"/>
      <c r="Z131" s="279"/>
      <c r="AA131" s="189"/>
      <c r="AB131" s="189"/>
      <c r="AC131" s="189"/>
      <c r="AD131" s="189"/>
      <c r="AE131" s="194"/>
      <c r="AG131" s="279"/>
      <c r="AH131" s="279"/>
      <c r="AI131" s="189"/>
      <c r="AJ131" s="189"/>
      <c r="AK131" s="189"/>
      <c r="AL131" s="189"/>
      <c r="AM131" s="194"/>
      <c r="AO131" s="279"/>
      <c r="AP131" s="279"/>
      <c r="AQ131" s="189"/>
      <c r="AR131" s="189"/>
      <c r="AS131" s="189"/>
      <c r="AT131" s="189"/>
      <c r="AU131" s="194"/>
      <c r="AW131" s="279"/>
      <c r="AX131" s="279"/>
      <c r="AY131" s="189"/>
      <c r="AZ131" s="189"/>
      <c r="BA131" s="189"/>
      <c r="BB131" s="189"/>
      <c r="BC131" s="194"/>
      <c r="BE131" s="279"/>
      <c r="BF131" s="279"/>
      <c r="BG131" s="189"/>
      <c r="BH131" s="189"/>
      <c r="BI131" s="189"/>
      <c r="BJ131" s="189"/>
      <c r="BK131" s="194"/>
      <c r="BM131" s="279"/>
      <c r="BN131" s="279"/>
      <c r="BO131" s="189"/>
      <c r="BP131" s="189"/>
      <c r="BQ131" s="189"/>
      <c r="BR131" s="189"/>
      <c r="BS131" s="194"/>
      <c r="BU131" s="279"/>
      <c r="BV131" s="279"/>
      <c r="BW131" s="189"/>
      <c r="BX131" s="189"/>
      <c r="BY131" s="189"/>
      <c r="BZ131" s="189"/>
      <c r="CA131" s="194"/>
      <c r="CC131" s="279"/>
      <c r="CD131" s="279"/>
      <c r="CE131" s="189"/>
      <c r="CF131" s="189"/>
      <c r="CG131" s="189"/>
      <c r="CH131" s="189"/>
      <c r="CI131" s="194"/>
      <c r="CK131" s="279"/>
      <c r="CL131" s="279"/>
      <c r="CM131" s="189"/>
      <c r="CN131" s="189"/>
      <c r="CO131" s="189"/>
      <c r="CP131" s="189"/>
      <c r="CQ131" s="194"/>
      <c r="CS131" s="279"/>
      <c r="CT131" s="279"/>
      <c r="CU131" s="189"/>
      <c r="CV131" s="189"/>
      <c r="CW131" s="189"/>
      <c r="CX131" s="189"/>
      <c r="CY131" s="194"/>
      <c r="DA131" s="279"/>
      <c r="DB131" s="279"/>
      <c r="DC131" s="189"/>
      <c r="DD131" s="189"/>
      <c r="DE131" s="189"/>
      <c r="DF131" s="189"/>
      <c r="DG131" s="194"/>
      <c r="DI131" s="279"/>
      <c r="DJ131" s="279"/>
      <c r="DK131" s="189"/>
      <c r="DL131" s="189"/>
      <c r="DM131" s="189"/>
      <c r="DN131" s="189"/>
      <c r="DO131" s="194"/>
      <c r="DQ131" s="279"/>
      <c r="DR131" s="279"/>
      <c r="DS131" s="189"/>
      <c r="DT131" s="189"/>
      <c r="DU131" s="189"/>
      <c r="DV131" s="189"/>
      <c r="DW131" s="194"/>
      <c r="DY131" s="279"/>
      <c r="DZ131" s="279"/>
      <c r="EA131" s="189"/>
      <c r="EB131" s="189"/>
      <c r="EC131" s="189"/>
      <c r="ED131" s="189"/>
      <c r="EE131" s="194"/>
      <c r="EG131" s="279"/>
      <c r="EH131" s="279"/>
      <c r="EI131" s="189"/>
      <c r="EJ131" s="189"/>
      <c r="EK131" s="189"/>
      <c r="EL131" s="189"/>
      <c r="EM131" s="194"/>
      <c r="EO131" s="279"/>
      <c r="EP131" s="279"/>
      <c r="EQ131" s="189"/>
      <c r="ER131" s="189"/>
      <c r="ES131" s="189"/>
      <c r="ET131" s="189"/>
      <c r="EU131" s="194"/>
      <c r="EW131" s="279"/>
      <c r="EX131" s="279"/>
      <c r="EY131" s="189"/>
      <c r="EZ131" s="189"/>
      <c r="FA131" s="189"/>
      <c r="FB131" s="189"/>
      <c r="FC131" s="194"/>
      <c r="FE131" s="279"/>
      <c r="FF131" s="279"/>
      <c r="FG131" s="189"/>
      <c r="FH131" s="189"/>
      <c r="FI131" s="189"/>
      <c r="FJ131" s="189"/>
      <c r="FK131" s="194"/>
      <c r="FM131" s="279"/>
      <c r="FN131" s="279"/>
      <c r="FO131" s="189"/>
      <c r="FP131" s="189"/>
      <c r="FQ131" s="189"/>
      <c r="FR131" s="189"/>
      <c r="FS131" s="194"/>
      <c r="FU131" s="279"/>
      <c r="FV131" s="279"/>
      <c r="FW131" s="189"/>
      <c r="FX131" s="189"/>
      <c r="FY131" s="189"/>
      <c r="FZ131" s="189"/>
      <c r="GA131" s="194"/>
      <c r="GC131" s="279"/>
      <c r="GD131" s="279"/>
      <c r="GE131" s="189"/>
      <c r="GF131" s="189"/>
      <c r="GG131" s="189"/>
      <c r="GH131" s="189"/>
      <c r="GI131" s="194"/>
      <c r="GK131" s="279"/>
      <c r="GL131" s="279"/>
      <c r="GM131" s="189"/>
      <c r="GN131" s="189"/>
      <c r="GO131" s="189"/>
      <c r="GP131" s="189"/>
      <c r="GQ131" s="194"/>
      <c r="GS131" s="279"/>
      <c r="GT131" s="279"/>
      <c r="GU131" s="189"/>
      <c r="GV131" s="189"/>
      <c r="GW131" s="189"/>
      <c r="GX131" s="189"/>
      <c r="GY131" s="194"/>
      <c r="HA131" s="279"/>
      <c r="HB131" s="279"/>
      <c r="HC131" s="189"/>
      <c r="HD131" s="189"/>
      <c r="HE131" s="189"/>
      <c r="HF131" s="189"/>
      <c r="HG131" s="194"/>
      <c r="HI131" s="279"/>
      <c r="HJ131" s="279"/>
      <c r="HK131" s="189"/>
      <c r="HL131" s="189"/>
      <c r="HM131" s="189"/>
      <c r="HN131" s="189"/>
      <c r="HO131" s="194"/>
      <c r="HQ131" s="279"/>
      <c r="HR131" s="279"/>
      <c r="HS131" s="189"/>
      <c r="HT131" s="189"/>
      <c r="HU131" s="189"/>
      <c r="HV131" s="189"/>
      <c r="HW131" s="194"/>
      <c r="HY131" s="279"/>
      <c r="HZ131" s="279"/>
      <c r="IA131" s="189"/>
      <c r="IB131" s="189"/>
      <c r="IC131" s="189"/>
      <c r="ID131" s="189"/>
      <c r="IE131" s="194"/>
      <c r="IG131" s="279"/>
      <c r="IH131" s="279"/>
      <c r="II131" s="189"/>
      <c r="IJ131" s="189"/>
      <c r="IK131" s="189"/>
      <c r="IL131" s="189"/>
    </row>
    <row r="132" spans="1:16" ht="12.75">
      <c r="A132" s="399" t="s">
        <v>68</v>
      </c>
      <c r="B132" s="400"/>
      <c r="C132" s="400"/>
      <c r="D132" s="400"/>
      <c r="E132" s="400"/>
      <c r="F132" s="400"/>
      <c r="G132" s="400"/>
      <c r="H132" s="196"/>
      <c r="I132" s="51"/>
      <c r="J132" s="256" t="s">
        <v>292</v>
      </c>
      <c r="K132" s="212" t="s">
        <v>80</v>
      </c>
      <c r="L132" s="212">
        <v>50</v>
      </c>
      <c r="M132" s="216">
        <v>1</v>
      </c>
      <c r="N132" s="216">
        <v>3.333</v>
      </c>
      <c r="O132" s="261">
        <f t="shared" si="9"/>
        <v>166.65</v>
      </c>
      <c r="P132" s="219">
        <f t="shared" si="10"/>
        <v>2585.6966155626856</v>
      </c>
    </row>
    <row r="133" spans="1:16" ht="12.75">
      <c r="A133" s="227">
        <v>1</v>
      </c>
      <c r="B133" s="277"/>
      <c r="C133" s="215" t="s">
        <v>238</v>
      </c>
      <c r="D133" s="215" t="s">
        <v>122</v>
      </c>
      <c r="E133" s="205" t="s">
        <v>122</v>
      </c>
      <c r="F133" s="205" t="s">
        <v>122</v>
      </c>
      <c r="G133" s="205" t="s">
        <v>122</v>
      </c>
      <c r="H133" s="370" t="s">
        <v>239</v>
      </c>
      <c r="I133" s="51"/>
      <c r="J133" s="256" t="s">
        <v>293</v>
      </c>
      <c r="K133" s="212" t="s">
        <v>80</v>
      </c>
      <c r="L133" s="212">
        <v>1000</v>
      </c>
      <c r="M133" s="216">
        <v>1</v>
      </c>
      <c r="N133" s="216">
        <v>0.04</v>
      </c>
      <c r="O133" s="221">
        <f t="shared" si="9"/>
        <v>40</v>
      </c>
      <c r="P133" s="219">
        <f t="shared" si="10"/>
        <v>620.6292506601105</v>
      </c>
    </row>
    <row r="134" spans="1:16" ht="12.75">
      <c r="A134" s="227"/>
      <c r="B134" s="277"/>
      <c r="C134" s="215"/>
      <c r="D134" s="215"/>
      <c r="E134" s="215"/>
      <c r="F134" s="215"/>
      <c r="G134" s="215"/>
      <c r="H134" s="371"/>
      <c r="I134" s="51"/>
      <c r="J134" s="256" t="s">
        <v>294</v>
      </c>
      <c r="K134" s="212" t="s">
        <v>295</v>
      </c>
      <c r="L134" s="212">
        <v>1.5</v>
      </c>
      <c r="M134" s="216">
        <v>1</v>
      </c>
      <c r="N134" s="275">
        <v>14.286</v>
      </c>
      <c r="O134" s="261">
        <f t="shared" si="9"/>
        <v>21.429</v>
      </c>
      <c r="P134" s="219">
        <f t="shared" si="10"/>
        <v>332.48660530988764</v>
      </c>
    </row>
    <row r="135" spans="1:16" ht="14.25">
      <c r="A135" s="421" t="s">
        <v>19</v>
      </c>
      <c r="B135" s="422"/>
      <c r="C135" s="422"/>
      <c r="D135" s="422"/>
      <c r="E135" s="422"/>
      <c r="F135" s="422"/>
      <c r="G135" s="422"/>
      <c r="H135" s="422"/>
      <c r="I135" s="51"/>
      <c r="J135" s="256" t="s">
        <v>113</v>
      </c>
      <c r="K135" s="212" t="s">
        <v>61</v>
      </c>
      <c r="L135" s="212">
        <v>4</v>
      </c>
      <c r="M135" s="269">
        <v>11</v>
      </c>
      <c r="N135" s="216">
        <v>1</v>
      </c>
      <c r="O135" s="261">
        <f t="shared" si="9"/>
        <v>44</v>
      </c>
      <c r="P135" s="219">
        <f t="shared" si="10"/>
        <v>682.6921757261215</v>
      </c>
    </row>
    <row r="136" spans="1:16" ht="14.25">
      <c r="A136" s="421" t="s">
        <v>20</v>
      </c>
      <c r="B136" s="422"/>
      <c r="C136" s="422"/>
      <c r="D136" s="422"/>
      <c r="E136" s="422"/>
      <c r="F136" s="422"/>
      <c r="G136" s="422"/>
      <c r="H136" s="422"/>
      <c r="I136" s="51"/>
      <c r="J136" s="256" t="s">
        <v>114</v>
      </c>
      <c r="K136" s="212" t="s">
        <v>61</v>
      </c>
      <c r="L136" s="212">
        <v>17</v>
      </c>
      <c r="M136" s="269">
        <v>3</v>
      </c>
      <c r="N136" s="216">
        <v>1</v>
      </c>
      <c r="O136" s="261">
        <f t="shared" si="9"/>
        <v>51</v>
      </c>
      <c r="P136" s="219">
        <f t="shared" si="10"/>
        <v>791.3022945916408</v>
      </c>
    </row>
    <row r="137" spans="1:16" ht="14.25">
      <c r="A137" s="212">
        <v>1</v>
      </c>
      <c r="B137" s="208" t="s">
        <v>297</v>
      </c>
      <c r="C137" s="51"/>
      <c r="D137" s="51"/>
      <c r="E137" s="215"/>
      <c r="F137" s="215"/>
      <c r="G137" s="215"/>
      <c r="H137" s="361"/>
      <c r="I137" s="51"/>
      <c r="J137" s="256" t="s">
        <v>110</v>
      </c>
      <c r="K137" s="212" t="s">
        <v>61</v>
      </c>
      <c r="L137" s="212">
        <v>16</v>
      </c>
      <c r="M137" s="269">
        <f>4*3</f>
        <v>12</v>
      </c>
      <c r="N137" s="216">
        <v>1</v>
      </c>
      <c r="O137" s="215">
        <f t="shared" si="9"/>
        <v>192</v>
      </c>
      <c r="P137" s="219">
        <f t="shared" si="10"/>
        <v>2979.0204031685303</v>
      </c>
    </row>
    <row r="138" spans="1:16" ht="14.25">
      <c r="A138" s="51"/>
      <c r="B138" s="256" t="s">
        <v>82</v>
      </c>
      <c r="C138" s="212" t="s">
        <v>61</v>
      </c>
      <c r="D138" s="212">
        <v>118</v>
      </c>
      <c r="E138" s="269">
        <v>1</v>
      </c>
      <c r="F138" s="216">
        <v>1</v>
      </c>
      <c r="G138" s="215">
        <f aca="true" t="shared" si="11" ref="G138:G146">D138*E138*F138</f>
        <v>118</v>
      </c>
      <c r="H138" s="361">
        <f>599897/39878.339*G138</f>
        <v>1775.0951462647429</v>
      </c>
      <c r="I138" s="51"/>
      <c r="J138" s="256" t="s">
        <v>421</v>
      </c>
      <c r="K138" s="212" t="s">
        <v>61</v>
      </c>
      <c r="L138" s="212">
        <v>14111</v>
      </c>
      <c r="M138" s="269">
        <v>1</v>
      </c>
      <c r="N138" s="216">
        <v>1</v>
      </c>
      <c r="O138" s="261">
        <f t="shared" si="9"/>
        <v>14111</v>
      </c>
      <c r="P138" s="219">
        <f t="shared" si="10"/>
        <v>218942.48390162046</v>
      </c>
    </row>
    <row r="139" spans="1:16" ht="14.25">
      <c r="A139" s="51"/>
      <c r="B139" s="256" t="s">
        <v>83</v>
      </c>
      <c r="C139" s="212" t="s">
        <v>80</v>
      </c>
      <c r="D139" s="212">
        <v>236</v>
      </c>
      <c r="E139" s="269">
        <v>3</v>
      </c>
      <c r="F139" s="216">
        <v>0.042</v>
      </c>
      <c r="G139" s="261">
        <f t="shared" si="11"/>
        <v>29.736</v>
      </c>
      <c r="H139" s="361">
        <f aca="true" t="shared" si="12" ref="H139:H179">599897/39878.339*G139</f>
        <v>447.32397685871524</v>
      </c>
      <c r="I139" s="51">
        <v>2</v>
      </c>
      <c r="J139" s="208" t="s">
        <v>298</v>
      </c>
      <c r="K139" s="51"/>
      <c r="L139" s="51"/>
      <c r="M139" s="215"/>
      <c r="N139" s="216"/>
      <c r="O139" s="215"/>
      <c r="P139" s="219">
        <f t="shared" si="10"/>
        <v>0</v>
      </c>
    </row>
    <row r="140" spans="1:16" ht="12.75">
      <c r="A140" s="51"/>
      <c r="B140" s="256" t="s">
        <v>291</v>
      </c>
      <c r="C140" s="212" t="s">
        <v>80</v>
      </c>
      <c r="D140" s="212">
        <v>50</v>
      </c>
      <c r="E140" s="216">
        <v>1</v>
      </c>
      <c r="F140" s="216">
        <v>1.111</v>
      </c>
      <c r="G140" s="261">
        <f t="shared" si="11"/>
        <v>55.55</v>
      </c>
      <c r="H140" s="361">
        <f t="shared" si="12"/>
        <v>835.6486048729362</v>
      </c>
      <c r="I140" s="256"/>
      <c r="J140" s="208" t="s">
        <v>299</v>
      </c>
      <c r="K140" s="51"/>
      <c r="L140" s="51"/>
      <c r="M140" s="215"/>
      <c r="N140" s="215"/>
      <c r="O140" s="215"/>
      <c r="P140" s="219">
        <f t="shared" si="10"/>
        <v>0</v>
      </c>
    </row>
    <row r="141" spans="1:16" ht="14.25">
      <c r="A141" s="51"/>
      <c r="B141" s="256" t="s">
        <v>292</v>
      </c>
      <c r="C141" s="212" t="s">
        <v>80</v>
      </c>
      <c r="D141" s="212">
        <v>50</v>
      </c>
      <c r="E141" s="216">
        <v>1</v>
      </c>
      <c r="F141" s="216">
        <v>3.333</v>
      </c>
      <c r="G141" s="261">
        <f t="shared" si="11"/>
        <v>166.65</v>
      </c>
      <c r="H141" s="361">
        <f t="shared" si="12"/>
        <v>2506.9458146188085</v>
      </c>
      <c r="I141" s="274"/>
      <c r="J141" s="256" t="s">
        <v>70</v>
      </c>
      <c r="K141" s="212" t="s">
        <v>71</v>
      </c>
      <c r="L141" s="212">
        <v>4000</v>
      </c>
      <c r="M141" s="269">
        <v>4</v>
      </c>
      <c r="N141" s="216">
        <v>0.056</v>
      </c>
      <c r="O141" s="215">
        <f aca="true" t="shared" si="13" ref="O141:O149">L141*M141*N141</f>
        <v>896</v>
      </c>
      <c r="P141" s="219">
        <f t="shared" si="10"/>
        <v>13902.095214786474</v>
      </c>
    </row>
    <row r="142" spans="1:16" ht="14.25">
      <c r="A142" s="51"/>
      <c r="B142" s="256" t="s">
        <v>293</v>
      </c>
      <c r="C142" s="212" t="s">
        <v>80</v>
      </c>
      <c r="D142" s="212">
        <v>1000</v>
      </c>
      <c r="E142" s="216">
        <v>1</v>
      </c>
      <c r="F142" s="216">
        <v>0.04</v>
      </c>
      <c r="G142" s="221">
        <f t="shared" si="11"/>
        <v>40</v>
      </c>
      <c r="H142" s="361">
        <f t="shared" si="12"/>
        <v>601.7271682253365</v>
      </c>
      <c r="I142" s="274"/>
      <c r="J142" s="51" t="s">
        <v>72</v>
      </c>
      <c r="K142" s="212" t="s">
        <v>73</v>
      </c>
      <c r="L142" s="212">
        <v>4000</v>
      </c>
      <c r="M142" s="269">
        <v>3</v>
      </c>
      <c r="N142" s="216">
        <v>0.12</v>
      </c>
      <c r="O142" s="215">
        <f t="shared" si="13"/>
        <v>1440</v>
      </c>
      <c r="P142" s="219">
        <f t="shared" si="10"/>
        <v>22342.653023763978</v>
      </c>
    </row>
    <row r="143" spans="1:16" ht="25.5">
      <c r="A143" s="51"/>
      <c r="B143" s="256" t="s">
        <v>294</v>
      </c>
      <c r="C143" s="212" t="s">
        <v>295</v>
      </c>
      <c r="D143" s="212">
        <v>1.5</v>
      </c>
      <c r="E143" s="216">
        <v>1</v>
      </c>
      <c r="F143" s="275">
        <v>14.286</v>
      </c>
      <c r="G143" s="261">
        <f t="shared" si="11"/>
        <v>21.429</v>
      </c>
      <c r="H143" s="361">
        <f t="shared" si="12"/>
        <v>322.3602871975184</v>
      </c>
      <c r="I143" s="273"/>
      <c r="J143" s="268" t="s">
        <v>74</v>
      </c>
      <c r="K143" s="212" t="s">
        <v>73</v>
      </c>
      <c r="L143" s="212">
        <v>1000</v>
      </c>
      <c r="M143" s="269">
        <v>2</v>
      </c>
      <c r="N143" s="216">
        <v>0.062</v>
      </c>
      <c r="O143" s="215">
        <f t="shared" si="13"/>
        <v>124</v>
      </c>
      <c r="P143" s="219">
        <f t="shared" si="10"/>
        <v>1923.9506770463424</v>
      </c>
    </row>
    <row r="144" spans="1:16" ht="14.25">
      <c r="A144" s="51"/>
      <c r="B144" s="256" t="s">
        <v>113</v>
      </c>
      <c r="C144" s="212" t="s">
        <v>61</v>
      </c>
      <c r="D144" s="212">
        <v>4</v>
      </c>
      <c r="E144" s="269">
        <v>11</v>
      </c>
      <c r="F144" s="216">
        <v>1</v>
      </c>
      <c r="G144" s="261">
        <f t="shared" si="11"/>
        <v>44</v>
      </c>
      <c r="H144" s="361">
        <f t="shared" si="12"/>
        <v>661.8998850478703</v>
      </c>
      <c r="I144" s="274"/>
      <c r="J144" s="51" t="s">
        <v>75</v>
      </c>
      <c r="K144" s="212" t="s">
        <v>71</v>
      </c>
      <c r="L144" s="212">
        <v>1000</v>
      </c>
      <c r="M144" s="269">
        <v>3</v>
      </c>
      <c r="N144" s="216">
        <v>0.04</v>
      </c>
      <c r="O144" s="215">
        <f t="shared" si="13"/>
        <v>120</v>
      </c>
      <c r="P144" s="219">
        <f t="shared" si="10"/>
        <v>1861.8877519803314</v>
      </c>
    </row>
    <row r="145" spans="1:16" ht="14.25">
      <c r="A145" s="51"/>
      <c r="B145" s="256" t="s">
        <v>608</v>
      </c>
      <c r="C145" s="212" t="s">
        <v>61</v>
      </c>
      <c r="D145" s="212">
        <f>3*8*10</f>
        <v>240</v>
      </c>
      <c r="E145" s="269">
        <v>4</v>
      </c>
      <c r="F145" s="216">
        <v>1</v>
      </c>
      <c r="G145" s="261">
        <f t="shared" si="11"/>
        <v>960</v>
      </c>
      <c r="H145" s="361">
        <f t="shared" si="12"/>
        <v>14441.452037408078</v>
      </c>
      <c r="I145" s="274"/>
      <c r="J145" s="51" t="s">
        <v>76</v>
      </c>
      <c r="K145" s="212" t="s">
        <v>71</v>
      </c>
      <c r="L145" s="212">
        <v>4000</v>
      </c>
      <c r="M145" s="269">
        <v>1</v>
      </c>
      <c r="N145" s="216">
        <v>0.03</v>
      </c>
      <c r="O145" s="215">
        <f t="shared" si="13"/>
        <v>120</v>
      </c>
      <c r="P145" s="219">
        <f t="shared" si="10"/>
        <v>1861.8877519803314</v>
      </c>
    </row>
    <row r="146" spans="1:16" ht="14.25">
      <c r="A146" s="51"/>
      <c r="B146" s="256" t="s">
        <v>110</v>
      </c>
      <c r="C146" s="212" t="s">
        <v>61</v>
      </c>
      <c r="D146" s="212">
        <v>16</v>
      </c>
      <c r="E146" s="269">
        <f>4*3</f>
        <v>12</v>
      </c>
      <c r="F146" s="216">
        <v>1</v>
      </c>
      <c r="G146" s="215">
        <f t="shared" si="11"/>
        <v>192</v>
      </c>
      <c r="H146" s="361">
        <f t="shared" si="12"/>
        <v>2888.2904074816156</v>
      </c>
      <c r="I146" s="274"/>
      <c r="J146" s="51" t="s">
        <v>77</v>
      </c>
      <c r="K146" s="212" t="s">
        <v>71</v>
      </c>
      <c r="L146" s="212">
        <v>4000</v>
      </c>
      <c r="M146" s="269">
        <v>1</v>
      </c>
      <c r="N146" s="216">
        <v>0.036</v>
      </c>
      <c r="O146" s="215">
        <f t="shared" si="13"/>
        <v>144</v>
      </c>
      <c r="P146" s="219">
        <f t="shared" si="10"/>
        <v>2234.265302376398</v>
      </c>
    </row>
    <row r="147" spans="1:16" ht="14.25">
      <c r="A147" s="51">
        <v>2</v>
      </c>
      <c r="B147" s="208" t="s">
        <v>298</v>
      </c>
      <c r="C147" s="51"/>
      <c r="D147" s="51"/>
      <c r="E147" s="215"/>
      <c r="F147" s="216"/>
      <c r="G147" s="215"/>
      <c r="H147" s="361">
        <f t="shared" si="12"/>
        <v>0</v>
      </c>
      <c r="I147" s="274"/>
      <c r="J147" s="51" t="s">
        <v>78</v>
      </c>
      <c r="K147" s="212" t="s">
        <v>71</v>
      </c>
      <c r="L147" s="212">
        <v>50</v>
      </c>
      <c r="M147" s="269">
        <v>2</v>
      </c>
      <c r="N147" s="216">
        <v>0.019</v>
      </c>
      <c r="O147" s="215">
        <f t="shared" si="13"/>
        <v>1.9</v>
      </c>
      <c r="P147" s="219">
        <f t="shared" si="10"/>
        <v>29.479889406355245</v>
      </c>
    </row>
    <row r="148" spans="1:16" ht="14.25">
      <c r="A148" s="256"/>
      <c r="B148" s="208" t="s">
        <v>299</v>
      </c>
      <c r="C148" s="51"/>
      <c r="D148" s="51"/>
      <c r="E148" s="215"/>
      <c r="F148" s="215"/>
      <c r="G148" s="215"/>
      <c r="H148" s="361">
        <f t="shared" si="12"/>
        <v>0</v>
      </c>
      <c r="I148" s="274"/>
      <c r="J148" s="51" t="s">
        <v>79</v>
      </c>
      <c r="K148" s="212" t="s">
        <v>71</v>
      </c>
      <c r="L148" s="212">
        <v>4000</v>
      </c>
      <c r="M148" s="269">
        <v>1</v>
      </c>
      <c r="N148" s="216">
        <v>0.056</v>
      </c>
      <c r="O148" s="215">
        <f t="shared" si="13"/>
        <v>224</v>
      </c>
      <c r="P148" s="219">
        <f t="shared" si="10"/>
        <v>3475.5238036966184</v>
      </c>
    </row>
    <row r="149" spans="1:16" ht="14.25">
      <c r="A149" s="274"/>
      <c r="B149" s="256" t="s">
        <v>70</v>
      </c>
      <c r="C149" s="212" t="s">
        <v>71</v>
      </c>
      <c r="D149" s="212">
        <v>4000</v>
      </c>
      <c r="E149" s="269">
        <v>4</v>
      </c>
      <c r="F149" s="216">
        <v>0.056</v>
      </c>
      <c r="G149" s="215">
        <f aca="true" t="shared" si="14" ref="G149:G157">D149*E149*F149</f>
        <v>896</v>
      </c>
      <c r="H149" s="361">
        <f t="shared" si="12"/>
        <v>13478.68856824754</v>
      </c>
      <c r="I149" s="256"/>
      <c r="J149" s="51" t="s">
        <v>81</v>
      </c>
      <c r="K149" s="212" t="s">
        <v>80</v>
      </c>
      <c r="L149" s="212">
        <v>5</v>
      </c>
      <c r="M149" s="269">
        <v>1</v>
      </c>
      <c r="N149" s="216">
        <v>19.2</v>
      </c>
      <c r="O149" s="215">
        <f t="shared" si="13"/>
        <v>96</v>
      </c>
      <c r="P149" s="219">
        <f t="shared" si="10"/>
        <v>1489.5102015842651</v>
      </c>
    </row>
    <row r="150" spans="1:16" ht="14.25">
      <c r="A150" s="274"/>
      <c r="B150" s="51" t="s">
        <v>72</v>
      </c>
      <c r="C150" s="212" t="s">
        <v>73</v>
      </c>
      <c r="D150" s="212">
        <v>4000</v>
      </c>
      <c r="E150" s="269">
        <v>3</v>
      </c>
      <c r="F150" s="216">
        <v>0.12</v>
      </c>
      <c r="G150" s="215">
        <f t="shared" si="14"/>
        <v>1440</v>
      </c>
      <c r="H150" s="361">
        <f t="shared" si="12"/>
        <v>21662.178056112116</v>
      </c>
      <c r="I150" s="256"/>
      <c r="J150" s="51" t="s">
        <v>249</v>
      </c>
      <c r="K150" s="212" t="s">
        <v>61</v>
      </c>
      <c r="L150" s="212">
        <v>2222</v>
      </c>
      <c r="M150" s="269">
        <v>1</v>
      </c>
      <c r="N150" s="216">
        <v>1</v>
      </c>
      <c r="O150" s="215">
        <v>2222</v>
      </c>
      <c r="P150" s="219">
        <f t="shared" si="10"/>
        <v>34475.95487416914</v>
      </c>
    </row>
    <row r="151" spans="1:16" ht="14.25">
      <c r="A151" s="273"/>
      <c r="B151" s="268" t="s">
        <v>74</v>
      </c>
      <c r="C151" s="212" t="s">
        <v>73</v>
      </c>
      <c r="D151" s="212">
        <v>1000</v>
      </c>
      <c r="E151" s="269">
        <v>2</v>
      </c>
      <c r="F151" s="216">
        <v>0.062</v>
      </c>
      <c r="G151" s="215">
        <f t="shared" si="14"/>
        <v>124</v>
      </c>
      <c r="H151" s="361">
        <f t="shared" si="12"/>
        <v>1865.3542214985434</v>
      </c>
      <c r="I151" s="256">
        <v>3</v>
      </c>
      <c r="J151" s="47" t="s">
        <v>118</v>
      </c>
      <c r="K151" s="212"/>
      <c r="L151" s="212"/>
      <c r="M151" s="215"/>
      <c r="N151" s="215"/>
      <c r="O151" s="215"/>
      <c r="P151" s="219">
        <f t="shared" si="10"/>
        <v>0</v>
      </c>
    </row>
    <row r="152" spans="1:16" ht="14.25">
      <c r="A152" s="274"/>
      <c r="B152" s="51" t="s">
        <v>75</v>
      </c>
      <c r="C152" s="212" t="s">
        <v>71</v>
      </c>
      <c r="D152" s="212">
        <v>1000</v>
      </c>
      <c r="E152" s="269">
        <v>3</v>
      </c>
      <c r="F152" s="216">
        <v>0.04</v>
      </c>
      <c r="G152" s="215">
        <f t="shared" si="14"/>
        <v>120</v>
      </c>
      <c r="H152" s="361">
        <f t="shared" si="12"/>
        <v>1805.1815046760098</v>
      </c>
      <c r="I152" s="274"/>
      <c r="J152" s="51" t="s">
        <v>86</v>
      </c>
      <c r="K152" s="212" t="s">
        <v>73</v>
      </c>
      <c r="L152" s="212">
        <v>2000</v>
      </c>
      <c r="M152" s="269">
        <v>3</v>
      </c>
      <c r="N152" s="216">
        <v>0.099</v>
      </c>
      <c r="O152" s="215">
        <f aca="true" t="shared" si="15" ref="O152:O157">L152*M152*N152</f>
        <v>594</v>
      </c>
      <c r="P152" s="219">
        <f t="shared" si="10"/>
        <v>9216.344372302641</v>
      </c>
    </row>
    <row r="153" spans="1:16" ht="14.25">
      <c r="A153" s="274"/>
      <c r="B153" s="51" t="s">
        <v>76</v>
      </c>
      <c r="C153" s="212" t="s">
        <v>71</v>
      </c>
      <c r="D153" s="212">
        <v>4000</v>
      </c>
      <c r="E153" s="269">
        <v>1</v>
      </c>
      <c r="F153" s="216">
        <v>0.03</v>
      </c>
      <c r="G153" s="215">
        <f t="shared" si="14"/>
        <v>120</v>
      </c>
      <c r="H153" s="361">
        <f t="shared" si="12"/>
        <v>1805.1815046760098</v>
      </c>
      <c r="I153" s="256"/>
      <c r="J153" s="51" t="s">
        <v>87</v>
      </c>
      <c r="K153" s="212" t="s">
        <v>73</v>
      </c>
      <c r="L153" s="212">
        <v>4000</v>
      </c>
      <c r="M153" s="269">
        <v>1</v>
      </c>
      <c r="N153" s="216">
        <v>0.048</v>
      </c>
      <c r="O153" s="215">
        <f t="shared" si="15"/>
        <v>192</v>
      </c>
      <c r="P153" s="219">
        <f t="shared" si="10"/>
        <v>2979.0204031685303</v>
      </c>
    </row>
    <row r="154" spans="1:16" ht="25.5">
      <c r="A154" s="274"/>
      <c r="B154" s="51" t="s">
        <v>77</v>
      </c>
      <c r="C154" s="212" t="s">
        <v>71</v>
      </c>
      <c r="D154" s="212">
        <v>4000</v>
      </c>
      <c r="E154" s="269">
        <v>1</v>
      </c>
      <c r="F154" s="216">
        <v>0.036</v>
      </c>
      <c r="G154" s="215">
        <f t="shared" si="14"/>
        <v>144</v>
      </c>
      <c r="H154" s="361">
        <f t="shared" si="12"/>
        <v>2166.2178056112116</v>
      </c>
      <c r="I154" s="273"/>
      <c r="J154" s="268" t="s">
        <v>88</v>
      </c>
      <c r="K154" s="212" t="s">
        <v>80</v>
      </c>
      <c r="L154" s="212">
        <v>67100</v>
      </c>
      <c r="M154" s="269">
        <v>3</v>
      </c>
      <c r="N154" s="216">
        <v>0.056</v>
      </c>
      <c r="O154" s="261">
        <f t="shared" si="15"/>
        <v>11272.800000000001</v>
      </c>
      <c r="P154" s="219">
        <f t="shared" si="10"/>
        <v>174905.73542103235</v>
      </c>
    </row>
    <row r="155" spans="1:16" ht="14.25">
      <c r="A155" s="274"/>
      <c r="B155" s="51" t="s">
        <v>78</v>
      </c>
      <c r="C155" s="212" t="s">
        <v>71</v>
      </c>
      <c r="D155" s="212">
        <v>50</v>
      </c>
      <c r="E155" s="269">
        <v>2</v>
      </c>
      <c r="F155" s="216">
        <v>0.019</v>
      </c>
      <c r="G155" s="215">
        <f t="shared" si="14"/>
        <v>1.9</v>
      </c>
      <c r="H155" s="361">
        <f t="shared" si="12"/>
        <v>28.582040490703488</v>
      </c>
      <c r="I155" s="256"/>
      <c r="J155" s="51" t="s">
        <v>89</v>
      </c>
      <c r="K155" s="212" t="s">
        <v>80</v>
      </c>
      <c r="L155" s="212">
        <v>80000</v>
      </c>
      <c r="M155" s="269">
        <v>1</v>
      </c>
      <c r="N155" s="216">
        <v>0.026</v>
      </c>
      <c r="O155" s="261">
        <f t="shared" si="15"/>
        <v>2080</v>
      </c>
      <c r="P155" s="219">
        <f t="shared" si="10"/>
        <v>32272.721034325743</v>
      </c>
    </row>
    <row r="156" spans="1:16" ht="14.25">
      <c r="A156" s="274"/>
      <c r="B156" s="51" t="s">
        <v>79</v>
      </c>
      <c r="C156" s="212" t="s">
        <v>71</v>
      </c>
      <c r="D156" s="212">
        <v>4000</v>
      </c>
      <c r="E156" s="269">
        <v>1</v>
      </c>
      <c r="F156" s="216">
        <v>0.056</v>
      </c>
      <c r="G156" s="215">
        <f t="shared" si="14"/>
        <v>224</v>
      </c>
      <c r="H156" s="361">
        <f t="shared" si="12"/>
        <v>3369.672142061885</v>
      </c>
      <c r="I156" s="256"/>
      <c r="J156" s="51" t="s">
        <v>90</v>
      </c>
      <c r="K156" s="212" t="s">
        <v>80</v>
      </c>
      <c r="L156" s="212">
        <v>50000</v>
      </c>
      <c r="M156" s="269">
        <v>1</v>
      </c>
      <c r="N156" s="216">
        <v>0.013</v>
      </c>
      <c r="O156" s="261">
        <f t="shared" si="15"/>
        <v>650</v>
      </c>
      <c r="P156" s="219">
        <f t="shared" si="10"/>
        <v>10085.225323226796</v>
      </c>
    </row>
    <row r="157" spans="1:16" ht="14.25">
      <c r="A157" s="256"/>
      <c r="B157" s="51" t="s">
        <v>81</v>
      </c>
      <c r="C157" s="212" t="s">
        <v>80</v>
      </c>
      <c r="D157" s="212">
        <v>5</v>
      </c>
      <c r="E157" s="269">
        <v>1</v>
      </c>
      <c r="F157" s="216">
        <v>19.2</v>
      </c>
      <c r="G157" s="215">
        <f t="shared" si="14"/>
        <v>96</v>
      </c>
      <c r="H157" s="361">
        <f t="shared" si="12"/>
        <v>1444.1452037408078</v>
      </c>
      <c r="I157" s="256"/>
      <c r="J157" s="51" t="s">
        <v>91</v>
      </c>
      <c r="K157" s="212" t="s">
        <v>66</v>
      </c>
      <c r="L157" s="212">
        <v>22834</v>
      </c>
      <c r="M157" s="269">
        <v>3</v>
      </c>
      <c r="N157" s="216">
        <v>0.156</v>
      </c>
      <c r="O157" s="261">
        <f t="shared" si="15"/>
        <v>10686.312</v>
      </c>
      <c r="P157" s="219">
        <f t="shared" si="10"/>
        <v>165805.94522200365</v>
      </c>
    </row>
    <row r="158" spans="1:16" ht="14.25">
      <c r="A158" s="256">
        <v>3</v>
      </c>
      <c r="B158" s="47" t="s">
        <v>118</v>
      </c>
      <c r="C158" s="212"/>
      <c r="D158" s="212"/>
      <c r="E158" s="215"/>
      <c r="F158" s="215"/>
      <c r="G158" s="215"/>
      <c r="H158" s="361">
        <f t="shared" si="12"/>
        <v>0</v>
      </c>
      <c r="I158" s="256"/>
      <c r="J158" s="51" t="s">
        <v>422</v>
      </c>
      <c r="K158" s="212" t="s">
        <v>61</v>
      </c>
      <c r="L158" s="212">
        <v>710</v>
      </c>
      <c r="M158" s="269">
        <v>1</v>
      </c>
      <c r="N158" s="216">
        <v>1</v>
      </c>
      <c r="O158" s="261">
        <v>710</v>
      </c>
      <c r="P158" s="219">
        <f t="shared" si="10"/>
        <v>11016.169199216962</v>
      </c>
    </row>
    <row r="159" spans="1:16" ht="14.25">
      <c r="A159" s="274"/>
      <c r="B159" s="51" t="s">
        <v>86</v>
      </c>
      <c r="C159" s="212" t="s">
        <v>73</v>
      </c>
      <c r="D159" s="212">
        <v>2000</v>
      </c>
      <c r="E159" s="269">
        <v>3</v>
      </c>
      <c r="F159" s="216">
        <v>0.099</v>
      </c>
      <c r="G159" s="215">
        <f aca="true" t="shared" si="16" ref="G159:G164">D159*E159*F159</f>
        <v>594</v>
      </c>
      <c r="H159" s="361">
        <f t="shared" si="12"/>
        <v>8935.648448146248</v>
      </c>
      <c r="I159" s="256"/>
      <c r="J159" s="51" t="s">
        <v>423</v>
      </c>
      <c r="K159" s="212" t="s">
        <v>61</v>
      </c>
      <c r="L159" s="212">
        <v>800</v>
      </c>
      <c r="M159" s="269">
        <v>1</v>
      </c>
      <c r="N159" s="216">
        <v>1</v>
      </c>
      <c r="O159" s="261">
        <v>800</v>
      </c>
      <c r="P159" s="219">
        <f t="shared" si="10"/>
        <v>12412.58501320221</v>
      </c>
    </row>
    <row r="160" spans="1:16" ht="14.25">
      <c r="A160" s="256"/>
      <c r="B160" s="51" t="s">
        <v>87</v>
      </c>
      <c r="C160" s="212" t="s">
        <v>73</v>
      </c>
      <c r="D160" s="212">
        <v>4000</v>
      </c>
      <c r="E160" s="269">
        <v>1</v>
      </c>
      <c r="F160" s="216">
        <v>0.048</v>
      </c>
      <c r="G160" s="215">
        <f t="shared" si="16"/>
        <v>192</v>
      </c>
      <c r="H160" s="361">
        <f t="shared" si="12"/>
        <v>2888.2904074816156</v>
      </c>
      <c r="I160" s="256">
        <v>4</v>
      </c>
      <c r="J160" s="47" t="s">
        <v>97</v>
      </c>
      <c r="K160" s="212"/>
      <c r="L160" s="212"/>
      <c r="M160" s="215"/>
      <c r="N160" s="215"/>
      <c r="O160" s="215"/>
      <c r="P160" s="219">
        <f t="shared" si="10"/>
        <v>0</v>
      </c>
    </row>
    <row r="161" spans="1:16" ht="14.25">
      <c r="A161" s="273"/>
      <c r="B161" s="268" t="s">
        <v>88</v>
      </c>
      <c r="C161" s="212" t="s">
        <v>80</v>
      </c>
      <c r="D161" s="212">
        <v>67100</v>
      </c>
      <c r="E161" s="269">
        <v>3</v>
      </c>
      <c r="F161" s="216">
        <v>0.056</v>
      </c>
      <c r="G161" s="261">
        <f t="shared" si="16"/>
        <v>11272.800000000001</v>
      </c>
      <c r="H161" s="361">
        <f t="shared" si="12"/>
        <v>169578.75054926437</v>
      </c>
      <c r="I161" s="256"/>
      <c r="J161" s="51" t="s">
        <v>98</v>
      </c>
      <c r="K161" s="212" t="s">
        <v>73</v>
      </c>
      <c r="L161" s="212">
        <v>5762</v>
      </c>
      <c r="M161" s="269">
        <v>2</v>
      </c>
      <c r="N161" s="216">
        <v>0.137</v>
      </c>
      <c r="O161" s="261">
        <f aca="true" t="shared" si="17" ref="O161:O171">L161*M161*N161</f>
        <v>1578.788</v>
      </c>
      <c r="P161" s="219">
        <f t="shared" si="10"/>
        <v>24496.050334779364</v>
      </c>
    </row>
    <row r="162" spans="1:16" ht="14.25">
      <c r="A162" s="256"/>
      <c r="B162" s="51" t="s">
        <v>89</v>
      </c>
      <c r="C162" s="212" t="s">
        <v>80</v>
      </c>
      <c r="D162" s="212">
        <v>80000</v>
      </c>
      <c r="E162" s="269">
        <v>1</v>
      </c>
      <c r="F162" s="216">
        <v>0.026</v>
      </c>
      <c r="G162" s="261">
        <f t="shared" si="16"/>
        <v>2080</v>
      </c>
      <c r="H162" s="361">
        <f t="shared" si="12"/>
        <v>31289.812747717504</v>
      </c>
      <c r="I162" s="256"/>
      <c r="J162" s="51" t="s">
        <v>99</v>
      </c>
      <c r="K162" s="212" t="s">
        <v>53</v>
      </c>
      <c r="L162" s="212">
        <v>70</v>
      </c>
      <c r="M162" s="269">
        <v>1</v>
      </c>
      <c r="N162" s="216">
        <v>3.448</v>
      </c>
      <c r="O162" s="261">
        <f t="shared" si="17"/>
        <v>241.35999999999999</v>
      </c>
      <c r="P162" s="219">
        <f t="shared" si="10"/>
        <v>3744.8768984831063</v>
      </c>
    </row>
    <row r="163" spans="1:16" ht="25.5">
      <c r="A163" s="256"/>
      <c r="B163" s="51" t="s">
        <v>90</v>
      </c>
      <c r="C163" s="212" t="s">
        <v>80</v>
      </c>
      <c r="D163" s="212">
        <v>50000</v>
      </c>
      <c r="E163" s="269">
        <v>1</v>
      </c>
      <c r="F163" s="216">
        <v>0.013</v>
      </c>
      <c r="G163" s="261">
        <f t="shared" si="16"/>
        <v>650</v>
      </c>
      <c r="H163" s="361">
        <f t="shared" si="12"/>
        <v>9778.06648366172</v>
      </c>
      <c r="I163" s="273"/>
      <c r="J163" s="268" t="s">
        <v>100</v>
      </c>
      <c r="K163" s="212" t="s">
        <v>53</v>
      </c>
      <c r="L163" s="212">
        <v>80</v>
      </c>
      <c r="M163" s="269">
        <v>3</v>
      </c>
      <c r="N163" s="216">
        <v>6.667</v>
      </c>
      <c r="O163" s="261">
        <f t="shared" si="17"/>
        <v>1600.08</v>
      </c>
      <c r="P163" s="219">
        <f t="shared" si="10"/>
        <v>24826.41128490574</v>
      </c>
    </row>
    <row r="164" spans="1:16" ht="14.25">
      <c r="A164" s="256"/>
      <c r="B164" s="51" t="s">
        <v>91</v>
      </c>
      <c r="C164" s="212" t="s">
        <v>66</v>
      </c>
      <c r="D164" s="212">
        <v>22834</v>
      </c>
      <c r="E164" s="269">
        <v>3</v>
      </c>
      <c r="F164" s="216">
        <v>0.156</v>
      </c>
      <c r="G164" s="261">
        <f t="shared" si="16"/>
        <v>10686.312</v>
      </c>
      <c r="H164" s="361">
        <f t="shared" si="12"/>
        <v>160756.10646331083</v>
      </c>
      <c r="I164" s="256"/>
      <c r="J164" s="51" t="s">
        <v>101</v>
      </c>
      <c r="K164" s="212" t="s">
        <v>53</v>
      </c>
      <c r="L164" s="212">
        <v>99.11</v>
      </c>
      <c r="M164" s="269">
        <v>4</v>
      </c>
      <c r="N164" s="216">
        <v>0.273</v>
      </c>
      <c r="O164" s="261">
        <f t="shared" si="17"/>
        <v>108.22812</v>
      </c>
      <c r="P164" s="219">
        <f t="shared" si="10"/>
        <v>1679.238425398813</v>
      </c>
    </row>
    <row r="165" spans="1:16" ht="14.25">
      <c r="A165" s="256">
        <v>4</v>
      </c>
      <c r="B165" s="47" t="s">
        <v>97</v>
      </c>
      <c r="C165" s="212"/>
      <c r="D165" s="212"/>
      <c r="E165" s="215"/>
      <c r="F165" s="215"/>
      <c r="G165" s="215"/>
      <c r="H165" s="361">
        <f t="shared" si="12"/>
        <v>0</v>
      </c>
      <c r="I165" s="256"/>
      <c r="J165" s="51" t="s">
        <v>102</v>
      </c>
      <c r="K165" s="212" t="s">
        <v>66</v>
      </c>
      <c r="L165" s="212">
        <v>35000</v>
      </c>
      <c r="M165" s="269">
        <v>1</v>
      </c>
      <c r="N165" s="216">
        <v>0.02</v>
      </c>
      <c r="O165" s="261">
        <f t="shared" si="17"/>
        <v>700</v>
      </c>
      <c r="P165" s="219">
        <f t="shared" si="10"/>
        <v>10861.011886551933</v>
      </c>
    </row>
    <row r="166" spans="1:16" ht="38.25">
      <c r="A166" s="256"/>
      <c r="B166" s="51" t="s">
        <v>98</v>
      </c>
      <c r="C166" s="212" t="s">
        <v>73</v>
      </c>
      <c r="D166" s="212">
        <v>5762</v>
      </c>
      <c r="E166" s="269">
        <v>2</v>
      </c>
      <c r="F166" s="216">
        <v>0.137</v>
      </c>
      <c r="G166" s="261">
        <f aca="true" t="shared" si="18" ref="G166:G176">D166*E166*F166</f>
        <v>1578.788</v>
      </c>
      <c r="H166" s="361">
        <f t="shared" si="12"/>
        <v>23749.990811703567</v>
      </c>
      <c r="I166" s="273"/>
      <c r="J166" s="268" t="s">
        <v>103</v>
      </c>
      <c r="K166" s="212" t="s">
        <v>73</v>
      </c>
      <c r="L166" s="212">
        <v>1000</v>
      </c>
      <c r="M166" s="269">
        <v>1</v>
      </c>
      <c r="N166" s="216">
        <v>0.126</v>
      </c>
      <c r="O166" s="261">
        <f t="shared" si="17"/>
        <v>126</v>
      </c>
      <c r="P166" s="219">
        <f t="shared" si="10"/>
        <v>1954.982139579348</v>
      </c>
    </row>
    <row r="167" spans="1:16" ht="25.5">
      <c r="A167" s="256"/>
      <c r="B167" s="51" t="s">
        <v>99</v>
      </c>
      <c r="C167" s="212" t="s">
        <v>53</v>
      </c>
      <c r="D167" s="212">
        <v>70</v>
      </c>
      <c r="E167" s="269">
        <v>1</v>
      </c>
      <c r="F167" s="216">
        <v>3.448</v>
      </c>
      <c r="G167" s="261">
        <f t="shared" si="18"/>
        <v>241.35999999999999</v>
      </c>
      <c r="H167" s="361">
        <f t="shared" si="12"/>
        <v>3630.8217330716807</v>
      </c>
      <c r="I167" s="273"/>
      <c r="J167" s="268" t="s">
        <v>104</v>
      </c>
      <c r="K167" s="212" t="s">
        <v>105</v>
      </c>
      <c r="L167" s="212">
        <v>100</v>
      </c>
      <c r="M167" s="269">
        <v>1</v>
      </c>
      <c r="N167" s="216">
        <v>7.111</v>
      </c>
      <c r="O167" s="261">
        <f t="shared" si="17"/>
        <v>711.1</v>
      </c>
      <c r="P167" s="219">
        <f t="shared" si="10"/>
        <v>11033.236503610115</v>
      </c>
    </row>
    <row r="168" spans="1:16" ht="25.5">
      <c r="A168" s="273"/>
      <c r="B168" s="268" t="s">
        <v>100</v>
      </c>
      <c r="C168" s="212" t="s">
        <v>53</v>
      </c>
      <c r="D168" s="212">
        <v>80</v>
      </c>
      <c r="E168" s="269">
        <v>3</v>
      </c>
      <c r="F168" s="216">
        <v>6.667</v>
      </c>
      <c r="G168" s="261">
        <f t="shared" si="18"/>
        <v>1600.08</v>
      </c>
      <c r="H168" s="361">
        <f t="shared" si="12"/>
        <v>24070.290183349913</v>
      </c>
      <c r="I168" s="256"/>
      <c r="J168" s="268" t="s">
        <v>106</v>
      </c>
      <c r="K168" s="212" t="s">
        <v>105</v>
      </c>
      <c r="L168" s="212">
        <v>15</v>
      </c>
      <c r="M168" s="269">
        <v>1</v>
      </c>
      <c r="N168" s="216">
        <v>7.822</v>
      </c>
      <c r="O168" s="261">
        <f t="shared" si="17"/>
        <v>117.33</v>
      </c>
      <c r="P168" s="219">
        <f t="shared" si="10"/>
        <v>1820.460749498769</v>
      </c>
    </row>
    <row r="169" spans="1:16" ht="14.25">
      <c r="A169" s="256"/>
      <c r="B169" s="51" t="s">
        <v>101</v>
      </c>
      <c r="C169" s="212" t="s">
        <v>53</v>
      </c>
      <c r="D169" s="212">
        <v>99.11</v>
      </c>
      <c r="E169" s="269">
        <v>4</v>
      </c>
      <c r="F169" s="216">
        <v>0.273</v>
      </c>
      <c r="G169" s="261">
        <f t="shared" si="18"/>
        <v>108.22812</v>
      </c>
      <c r="H169" s="361">
        <f t="shared" si="12"/>
        <v>1628.095004248798</v>
      </c>
      <c r="I169" s="256"/>
      <c r="J169" s="51" t="s">
        <v>107</v>
      </c>
      <c r="K169" s="212" t="s">
        <v>80</v>
      </c>
      <c r="L169" s="212">
        <v>1000</v>
      </c>
      <c r="M169" s="269">
        <v>1</v>
      </c>
      <c r="N169" s="216">
        <v>0.067</v>
      </c>
      <c r="O169" s="261">
        <f t="shared" si="17"/>
        <v>67</v>
      </c>
      <c r="P169" s="219">
        <f t="shared" si="10"/>
        <v>1039.553994855685</v>
      </c>
    </row>
    <row r="170" spans="1:16" ht="14.25">
      <c r="A170" s="256"/>
      <c r="B170" s="51" t="s">
        <v>102</v>
      </c>
      <c r="C170" s="212" t="s">
        <v>66</v>
      </c>
      <c r="D170" s="212">
        <v>35000</v>
      </c>
      <c r="E170" s="269">
        <v>1</v>
      </c>
      <c r="F170" s="216">
        <v>0.02</v>
      </c>
      <c r="G170" s="261">
        <f t="shared" si="18"/>
        <v>700</v>
      </c>
      <c r="H170" s="361">
        <f t="shared" si="12"/>
        <v>10530.225443943391</v>
      </c>
      <c r="I170" s="256"/>
      <c r="J170" s="51" t="s">
        <v>108</v>
      </c>
      <c r="K170" s="212" t="s">
        <v>84</v>
      </c>
      <c r="L170" s="212">
        <v>144</v>
      </c>
      <c r="M170" s="269">
        <v>1</v>
      </c>
      <c r="N170" s="216">
        <v>1.111</v>
      </c>
      <c r="O170" s="261">
        <f t="shared" si="17"/>
        <v>159.984</v>
      </c>
      <c r="P170" s="219">
        <f t="shared" si="10"/>
        <v>2482.268750940178</v>
      </c>
    </row>
    <row r="171" spans="1:16" ht="25.5">
      <c r="A171" s="273"/>
      <c r="B171" s="268" t="s">
        <v>103</v>
      </c>
      <c r="C171" s="212" t="s">
        <v>73</v>
      </c>
      <c r="D171" s="212">
        <v>1000</v>
      </c>
      <c r="E171" s="269">
        <v>1</v>
      </c>
      <c r="F171" s="216">
        <v>0.126</v>
      </c>
      <c r="G171" s="261">
        <f t="shared" si="18"/>
        <v>126</v>
      </c>
      <c r="H171" s="361">
        <f t="shared" si="12"/>
        <v>1895.4405799098101</v>
      </c>
      <c r="I171" s="256"/>
      <c r="J171" s="51" t="s">
        <v>109</v>
      </c>
      <c r="K171" s="212" t="s">
        <v>73</v>
      </c>
      <c r="L171" s="212">
        <v>2738</v>
      </c>
      <c r="M171" s="269">
        <v>1</v>
      </c>
      <c r="N171" s="216">
        <v>0.034</v>
      </c>
      <c r="O171" s="261">
        <f t="shared" si="17"/>
        <v>93.09200000000001</v>
      </c>
      <c r="P171" s="219">
        <f t="shared" si="10"/>
        <v>1444.3904550612754</v>
      </c>
    </row>
    <row r="172" spans="1:16" ht="14.25">
      <c r="A172" s="273"/>
      <c r="B172" s="268" t="s">
        <v>104</v>
      </c>
      <c r="C172" s="212" t="s">
        <v>105</v>
      </c>
      <c r="D172" s="212">
        <v>100</v>
      </c>
      <c r="E172" s="269">
        <v>1</v>
      </c>
      <c r="F172" s="216">
        <v>7.111</v>
      </c>
      <c r="G172" s="261">
        <f t="shared" si="18"/>
        <v>711.1</v>
      </c>
      <c r="H172" s="361">
        <f t="shared" si="12"/>
        <v>10697.204733125922</v>
      </c>
      <c r="I172" s="256"/>
      <c r="J172" s="51" t="s">
        <v>477</v>
      </c>
      <c r="K172" s="212" t="s">
        <v>61</v>
      </c>
      <c r="L172" s="212">
        <v>1364</v>
      </c>
      <c r="M172" s="269">
        <v>1</v>
      </c>
      <c r="N172" s="216">
        <v>1</v>
      </c>
      <c r="O172" s="261">
        <v>1364</v>
      </c>
      <c r="P172" s="219">
        <f t="shared" si="10"/>
        <v>21163.45744750977</v>
      </c>
    </row>
    <row r="173" spans="1:16" ht="14.25">
      <c r="A173" s="256"/>
      <c r="B173" s="268" t="s">
        <v>106</v>
      </c>
      <c r="C173" s="212" t="s">
        <v>105</v>
      </c>
      <c r="D173" s="212">
        <v>15</v>
      </c>
      <c r="E173" s="269">
        <v>1</v>
      </c>
      <c r="F173" s="216">
        <v>7.822</v>
      </c>
      <c r="G173" s="261">
        <f t="shared" si="18"/>
        <v>117.33</v>
      </c>
      <c r="H173" s="361">
        <f t="shared" si="12"/>
        <v>1765.0162161969686</v>
      </c>
      <c r="I173" s="256">
        <v>5</v>
      </c>
      <c r="J173" s="47" t="s">
        <v>111</v>
      </c>
      <c r="K173" s="212"/>
      <c r="L173" s="212"/>
      <c r="M173" s="215"/>
      <c r="N173" s="215"/>
      <c r="O173" s="215"/>
      <c r="P173" s="219">
        <f t="shared" si="10"/>
        <v>0</v>
      </c>
    </row>
    <row r="174" spans="1:16" ht="14.25">
      <c r="A174" s="256"/>
      <c r="B174" s="51" t="s">
        <v>107</v>
      </c>
      <c r="C174" s="212" t="s">
        <v>80</v>
      </c>
      <c r="D174" s="212">
        <v>1000</v>
      </c>
      <c r="E174" s="269">
        <v>1</v>
      </c>
      <c r="F174" s="216">
        <v>0.067</v>
      </c>
      <c r="G174" s="261">
        <f t="shared" si="18"/>
        <v>67</v>
      </c>
      <c r="H174" s="361">
        <f t="shared" si="12"/>
        <v>1007.8930067774388</v>
      </c>
      <c r="I174" s="212"/>
      <c r="J174" s="51" t="s">
        <v>112</v>
      </c>
      <c r="K174" s="212" t="s">
        <v>53</v>
      </c>
      <c r="L174" s="220">
        <v>700</v>
      </c>
      <c r="M174" s="269">
        <v>5</v>
      </c>
      <c r="N174" s="216">
        <v>0.65</v>
      </c>
      <c r="O174" s="215">
        <f>L174*M174*N174</f>
        <v>2275</v>
      </c>
      <c r="P174" s="219">
        <f t="shared" si="10"/>
        <v>35298.288631293784</v>
      </c>
    </row>
    <row r="175" spans="1:16" ht="14.25">
      <c r="A175" s="256"/>
      <c r="B175" s="51" t="s">
        <v>108</v>
      </c>
      <c r="C175" s="212" t="s">
        <v>84</v>
      </c>
      <c r="D175" s="212">
        <v>144</v>
      </c>
      <c r="E175" s="269">
        <v>1</v>
      </c>
      <c r="F175" s="216">
        <v>1.111</v>
      </c>
      <c r="G175" s="261">
        <f t="shared" si="18"/>
        <v>159.984</v>
      </c>
      <c r="H175" s="361">
        <f t="shared" si="12"/>
        <v>2406.6679820340564</v>
      </c>
      <c r="I175" s="212"/>
      <c r="J175" s="51" t="s">
        <v>115</v>
      </c>
      <c r="K175" s="212" t="s">
        <v>61</v>
      </c>
      <c r="L175" s="212">
        <v>40</v>
      </c>
      <c r="M175" s="269">
        <v>5</v>
      </c>
      <c r="N175" s="216">
        <v>1</v>
      </c>
      <c r="O175" s="215">
        <f>L175*M175*N175</f>
        <v>200</v>
      </c>
      <c r="P175" s="219">
        <f t="shared" si="10"/>
        <v>3103.1462533005524</v>
      </c>
    </row>
    <row r="176" spans="1:16" ht="14.25">
      <c r="A176" s="256"/>
      <c r="B176" s="51" t="s">
        <v>109</v>
      </c>
      <c r="C176" s="212" t="s">
        <v>73</v>
      </c>
      <c r="D176" s="212">
        <v>2738</v>
      </c>
      <c r="E176" s="269">
        <v>1</v>
      </c>
      <c r="F176" s="216">
        <v>0.034</v>
      </c>
      <c r="G176" s="261">
        <f t="shared" si="18"/>
        <v>93.09200000000001</v>
      </c>
      <c r="H176" s="361">
        <f t="shared" si="12"/>
        <v>1400.399638610826</v>
      </c>
      <c r="I176" s="212"/>
      <c r="J176" s="51" t="s">
        <v>116</v>
      </c>
      <c r="K176" s="212" t="s">
        <v>61</v>
      </c>
      <c r="L176" s="212">
        <f>30*8</f>
        <v>240</v>
      </c>
      <c r="M176" s="269">
        <v>8</v>
      </c>
      <c r="N176" s="216">
        <v>1</v>
      </c>
      <c r="O176" s="215">
        <f>L176*M176*N176</f>
        <v>1920</v>
      </c>
      <c r="P176" s="219">
        <f t="shared" si="10"/>
        <v>29790.2040316853</v>
      </c>
    </row>
    <row r="177" spans="1:16" ht="14.25">
      <c r="A177" s="256">
        <v>5</v>
      </c>
      <c r="B177" s="47" t="s">
        <v>111</v>
      </c>
      <c r="C177" s="212"/>
      <c r="D177" s="212"/>
      <c r="E177" s="215"/>
      <c r="F177" s="215"/>
      <c r="G177" s="215"/>
      <c r="H177" s="361">
        <f t="shared" si="12"/>
        <v>0</v>
      </c>
      <c r="I177" s="212"/>
      <c r="J177" s="93" t="s">
        <v>413</v>
      </c>
      <c r="K177" s="224"/>
      <c r="L177" s="224"/>
      <c r="M177" s="269"/>
      <c r="N177" s="216"/>
      <c r="O177" s="245">
        <f>SUM(O129:O176)</f>
        <v>58464.33912</v>
      </c>
      <c r="P177" s="218">
        <f t="shared" si="10"/>
        <v>907116.9744596045</v>
      </c>
    </row>
    <row r="178" spans="1:16" ht="14.25">
      <c r="A178" s="212"/>
      <c r="B178" s="51" t="s">
        <v>112</v>
      </c>
      <c r="C178" s="212" t="s">
        <v>53</v>
      </c>
      <c r="D178" s="220">
        <v>700</v>
      </c>
      <c r="E178" s="269">
        <v>5</v>
      </c>
      <c r="F178" s="216">
        <v>0.65</v>
      </c>
      <c r="G178" s="215">
        <f>D178*E178*F178</f>
        <v>2275</v>
      </c>
      <c r="H178" s="361">
        <f t="shared" si="12"/>
        <v>34223.23269281602</v>
      </c>
      <c r="I178" s="212">
        <v>6</v>
      </c>
      <c r="J178" s="93" t="s">
        <v>505</v>
      </c>
      <c r="K178" s="212"/>
      <c r="L178" s="212"/>
      <c r="M178" s="269"/>
      <c r="N178" s="216"/>
      <c r="O178" s="205" t="s">
        <v>476</v>
      </c>
      <c r="P178" s="219"/>
    </row>
    <row r="179" spans="1:16" ht="14.25">
      <c r="A179" s="212"/>
      <c r="B179" s="51" t="s">
        <v>116</v>
      </c>
      <c r="C179" s="212" t="s">
        <v>61</v>
      </c>
      <c r="D179" s="212">
        <f>30*4</f>
        <v>120</v>
      </c>
      <c r="E179" s="269">
        <v>6</v>
      </c>
      <c r="F179" s="216">
        <v>1</v>
      </c>
      <c r="G179" s="215">
        <f>D179*E179*F179</f>
        <v>720</v>
      </c>
      <c r="H179" s="361">
        <f t="shared" si="12"/>
        <v>10831.089028056058</v>
      </c>
      <c r="I179" s="212"/>
      <c r="J179" s="51" t="s">
        <v>543</v>
      </c>
      <c r="K179" s="215" t="s">
        <v>476</v>
      </c>
      <c r="L179" s="212">
        <v>290</v>
      </c>
      <c r="M179" s="269">
        <v>1</v>
      </c>
      <c r="N179" s="216">
        <v>1</v>
      </c>
      <c r="O179" s="212">
        <v>290</v>
      </c>
      <c r="P179" s="219">
        <f aca="true" t="shared" si="19" ref="P179:P186">917978/59164.34*O179</f>
        <v>4499.562067285801</v>
      </c>
    </row>
    <row r="180" spans="1:16" ht="25.5">
      <c r="A180" s="212"/>
      <c r="B180" s="93" t="s">
        <v>413</v>
      </c>
      <c r="C180" s="224"/>
      <c r="D180" s="224"/>
      <c r="E180" s="269"/>
      <c r="F180" s="216"/>
      <c r="G180" s="245">
        <f>SUM(G138:G179)</f>
        <v>38766.33912</v>
      </c>
      <c r="H180" s="368">
        <f>SUM(H138:H179)</f>
        <v>583168.986528517</v>
      </c>
      <c r="I180" s="212"/>
      <c r="J180" s="268" t="s">
        <v>546</v>
      </c>
      <c r="K180" s="215" t="s">
        <v>476</v>
      </c>
      <c r="L180" s="212">
        <v>210</v>
      </c>
      <c r="M180" s="269">
        <v>1</v>
      </c>
      <c r="N180" s="216">
        <v>1</v>
      </c>
      <c r="O180" s="212">
        <v>210</v>
      </c>
      <c r="P180" s="219">
        <f t="shared" si="19"/>
        <v>3258.3035659655798</v>
      </c>
    </row>
    <row r="181" spans="1:16" ht="14.25">
      <c r="A181" s="212">
        <v>6</v>
      </c>
      <c r="B181" s="93" t="s">
        <v>505</v>
      </c>
      <c r="C181" s="212"/>
      <c r="D181" s="212"/>
      <c r="E181" s="269"/>
      <c r="F181" s="216"/>
      <c r="G181" s="205" t="s">
        <v>476</v>
      </c>
      <c r="H181" s="361"/>
      <c r="I181" s="212"/>
      <c r="J181" s="51" t="s">
        <v>444</v>
      </c>
      <c r="K181" s="215" t="s">
        <v>476</v>
      </c>
      <c r="L181" s="212">
        <v>30</v>
      </c>
      <c r="M181" s="269">
        <v>1</v>
      </c>
      <c r="N181" s="216">
        <v>1</v>
      </c>
      <c r="O181" s="212">
        <v>30</v>
      </c>
      <c r="P181" s="219">
        <f t="shared" si="19"/>
        <v>465.47193799508284</v>
      </c>
    </row>
    <row r="182" spans="1:16" ht="18" customHeight="1">
      <c r="A182" s="212"/>
      <c r="B182" s="51" t="s">
        <v>574</v>
      </c>
      <c r="C182" s="215" t="s">
        <v>476</v>
      </c>
      <c r="D182" s="212">
        <v>290</v>
      </c>
      <c r="E182" s="269">
        <v>1</v>
      </c>
      <c r="F182" s="216">
        <v>1</v>
      </c>
      <c r="G182" s="212">
        <v>290</v>
      </c>
      <c r="H182" s="361">
        <f aca="true" t="shared" si="20" ref="H182:H189">599897/39878.339*G182</f>
        <v>4362.52196963369</v>
      </c>
      <c r="I182" s="212"/>
      <c r="J182" s="51" t="s">
        <v>521</v>
      </c>
      <c r="K182" s="215" t="s">
        <v>476</v>
      </c>
      <c r="L182" s="212">
        <v>30</v>
      </c>
      <c r="M182" s="269">
        <v>1</v>
      </c>
      <c r="N182" s="216">
        <v>1</v>
      </c>
      <c r="O182" s="212">
        <v>30</v>
      </c>
      <c r="P182" s="219">
        <f t="shared" si="19"/>
        <v>465.47193799508284</v>
      </c>
    </row>
    <row r="183" spans="1:16" ht="25.5">
      <c r="A183" s="212"/>
      <c r="B183" s="268" t="s">
        <v>546</v>
      </c>
      <c r="C183" s="215" t="s">
        <v>476</v>
      </c>
      <c r="D183" s="212">
        <v>400</v>
      </c>
      <c r="E183" s="269">
        <v>1</v>
      </c>
      <c r="F183" s="216">
        <v>1</v>
      </c>
      <c r="G183" s="212">
        <v>400</v>
      </c>
      <c r="H183" s="361">
        <f t="shared" si="20"/>
        <v>6017.271682253366</v>
      </c>
      <c r="I183" s="212"/>
      <c r="J183" s="51" t="s">
        <v>445</v>
      </c>
      <c r="K183" s="215" t="s">
        <v>476</v>
      </c>
      <c r="L183" s="212">
        <v>40</v>
      </c>
      <c r="M183" s="269">
        <v>1</v>
      </c>
      <c r="N183" s="216">
        <v>1</v>
      </c>
      <c r="O183" s="212">
        <v>40</v>
      </c>
      <c r="P183" s="219">
        <f t="shared" si="19"/>
        <v>620.6292506601105</v>
      </c>
    </row>
    <row r="184" spans="1:16" ht="14.25">
      <c r="A184" s="212"/>
      <c r="B184" s="51" t="s">
        <v>444</v>
      </c>
      <c r="C184" s="215" t="s">
        <v>476</v>
      </c>
      <c r="D184" s="212">
        <v>180</v>
      </c>
      <c r="E184" s="269">
        <v>1</v>
      </c>
      <c r="F184" s="216">
        <v>1</v>
      </c>
      <c r="G184" s="212">
        <v>180</v>
      </c>
      <c r="H184" s="361">
        <f t="shared" si="20"/>
        <v>2707.7722570140145</v>
      </c>
      <c r="I184" s="212"/>
      <c r="J184" s="51" t="s">
        <v>488</v>
      </c>
      <c r="K184" s="215" t="s">
        <v>476</v>
      </c>
      <c r="L184" s="212">
        <v>24</v>
      </c>
      <c r="M184" s="269">
        <v>1</v>
      </c>
      <c r="N184" s="216">
        <v>1</v>
      </c>
      <c r="O184" s="212">
        <v>24</v>
      </c>
      <c r="P184" s="219">
        <f t="shared" si="19"/>
        <v>372.3775503960663</v>
      </c>
    </row>
    <row r="185" spans="1:16" ht="14.25">
      <c r="A185" s="212"/>
      <c r="B185" s="51" t="s">
        <v>521</v>
      </c>
      <c r="C185" s="215" t="s">
        <v>476</v>
      </c>
      <c r="D185" s="212">
        <v>30</v>
      </c>
      <c r="E185" s="269">
        <v>1</v>
      </c>
      <c r="F185" s="216">
        <v>1</v>
      </c>
      <c r="G185" s="212">
        <v>30</v>
      </c>
      <c r="H185" s="361">
        <f t="shared" si="20"/>
        <v>451.29537616900245</v>
      </c>
      <c r="I185" s="212"/>
      <c r="J185" s="51" t="s">
        <v>446</v>
      </c>
      <c r="K185" s="215" t="s">
        <v>476</v>
      </c>
      <c r="L185" s="212">
        <v>60</v>
      </c>
      <c r="M185" s="269">
        <v>1</v>
      </c>
      <c r="N185" s="216">
        <v>1</v>
      </c>
      <c r="O185" s="212">
        <v>60</v>
      </c>
      <c r="P185" s="219">
        <f t="shared" si="19"/>
        <v>930.9438759901657</v>
      </c>
    </row>
    <row r="186" spans="1:16" ht="14.25">
      <c r="A186" s="212"/>
      <c r="B186" s="51" t="s">
        <v>445</v>
      </c>
      <c r="C186" s="215" t="s">
        <v>476</v>
      </c>
      <c r="D186" s="212">
        <v>40</v>
      </c>
      <c r="E186" s="269">
        <v>1</v>
      </c>
      <c r="F186" s="216">
        <v>1</v>
      </c>
      <c r="G186" s="212">
        <v>40</v>
      </c>
      <c r="H186" s="361">
        <f t="shared" si="20"/>
        <v>601.7271682253365</v>
      </c>
      <c r="I186" s="212"/>
      <c r="J186" s="51" t="s">
        <v>489</v>
      </c>
      <c r="K186" s="215" t="s">
        <v>476</v>
      </c>
      <c r="L186" s="212">
        <v>16</v>
      </c>
      <c r="M186" s="269">
        <v>1</v>
      </c>
      <c r="N186" s="216">
        <v>1</v>
      </c>
      <c r="O186" s="212">
        <v>16</v>
      </c>
      <c r="P186" s="219">
        <f t="shared" si="19"/>
        <v>248.2517002640442</v>
      </c>
    </row>
    <row r="187" spans="1:16" ht="14.25">
      <c r="A187" s="212"/>
      <c r="B187" s="51" t="s">
        <v>575</v>
      </c>
      <c r="C187" s="215" t="s">
        <v>476</v>
      </c>
      <c r="D187" s="212">
        <v>24</v>
      </c>
      <c r="E187" s="269">
        <v>1</v>
      </c>
      <c r="F187" s="216">
        <v>1</v>
      </c>
      <c r="G187" s="212">
        <v>24</v>
      </c>
      <c r="H187" s="361">
        <f t="shared" si="20"/>
        <v>361.03630093520195</v>
      </c>
      <c r="I187" s="212"/>
      <c r="J187" s="47" t="s">
        <v>413</v>
      </c>
      <c r="K187" s="215"/>
      <c r="L187" s="212"/>
      <c r="M187" s="269"/>
      <c r="N187" s="216"/>
      <c r="O187" s="208">
        <f>SUM(O179:O186)</f>
        <v>700</v>
      </c>
      <c r="P187" s="218">
        <f>SUM(P179:P186)</f>
        <v>10861.011886551933</v>
      </c>
    </row>
    <row r="188" spans="1:16" ht="15">
      <c r="A188" s="212"/>
      <c r="B188" s="51" t="s">
        <v>446</v>
      </c>
      <c r="C188" s="215" t="s">
        <v>476</v>
      </c>
      <c r="D188" s="212">
        <v>108</v>
      </c>
      <c r="E188" s="269">
        <v>1</v>
      </c>
      <c r="F188" s="216">
        <v>1</v>
      </c>
      <c r="G188" s="212">
        <v>108</v>
      </c>
      <c r="H188" s="361">
        <f t="shared" si="20"/>
        <v>1624.6633542084087</v>
      </c>
      <c r="I188" s="212"/>
      <c r="J188" s="93" t="s">
        <v>524</v>
      </c>
      <c r="K188" s="215"/>
      <c r="L188" s="212"/>
      <c r="M188" s="269"/>
      <c r="N188" s="216"/>
      <c r="O188" s="240">
        <f>O177+O187</f>
        <v>59164.33912</v>
      </c>
      <c r="P188" s="254">
        <f>P177+P187</f>
        <v>917977.9863461565</v>
      </c>
    </row>
    <row r="189" spans="1:16" ht="14.25">
      <c r="A189" s="212"/>
      <c r="B189" s="51" t="s">
        <v>489</v>
      </c>
      <c r="C189" s="215" t="s">
        <v>476</v>
      </c>
      <c r="D189" s="212">
        <v>40</v>
      </c>
      <c r="E189" s="269">
        <v>1</v>
      </c>
      <c r="F189" s="216">
        <v>1</v>
      </c>
      <c r="G189" s="212">
        <v>40</v>
      </c>
      <c r="H189" s="361">
        <f t="shared" si="20"/>
        <v>601.7271682253365</v>
      </c>
      <c r="I189" s="212">
        <v>7</v>
      </c>
      <c r="J189" s="47" t="s">
        <v>120</v>
      </c>
      <c r="K189" s="51"/>
      <c r="L189" s="51"/>
      <c r="M189" s="205"/>
      <c r="N189" s="205"/>
      <c r="O189" s="207">
        <f>O190+O191+O192</f>
        <v>1442</v>
      </c>
      <c r="P189" s="235">
        <f>P190+P191+P192</f>
        <v>17250</v>
      </c>
    </row>
    <row r="190" spans="1:16" ht="14.25">
      <c r="A190" s="212"/>
      <c r="B190" s="47" t="s">
        <v>413</v>
      </c>
      <c r="C190" s="215"/>
      <c r="D190" s="212"/>
      <c r="E190" s="269"/>
      <c r="F190" s="216"/>
      <c r="G190" s="208">
        <f>SUM(G182:G189)</f>
        <v>1112</v>
      </c>
      <c r="H190" s="368">
        <f>SUM(H182:H189)</f>
        <v>16728.015276664355</v>
      </c>
      <c r="I190" s="212"/>
      <c r="J190" s="51" t="s">
        <v>243</v>
      </c>
      <c r="K190" s="212" t="s">
        <v>242</v>
      </c>
      <c r="L190" s="205">
        <v>746</v>
      </c>
      <c r="M190" s="215"/>
      <c r="N190" s="215"/>
      <c r="O190" s="260">
        <v>507</v>
      </c>
      <c r="P190" s="235">
        <f>1496+4513+1659</f>
        <v>7668</v>
      </c>
    </row>
    <row r="191" spans="1:16" ht="20.25" customHeight="1">
      <c r="A191" s="212"/>
      <c r="B191" s="86" t="s">
        <v>661</v>
      </c>
      <c r="C191" s="258"/>
      <c r="D191" s="329"/>
      <c r="E191" s="269"/>
      <c r="F191" s="339"/>
      <c r="G191" s="340">
        <f>G180+G190</f>
        <v>39878.33912</v>
      </c>
      <c r="H191" s="372">
        <f>H180+H190</f>
        <v>599897.0018051814</v>
      </c>
      <c r="I191" s="212"/>
      <c r="J191" s="51" t="s">
        <v>244</v>
      </c>
      <c r="K191" s="212" t="s">
        <v>53</v>
      </c>
      <c r="L191" s="212">
        <v>8.15</v>
      </c>
      <c r="M191" s="215"/>
      <c r="N191" s="215"/>
      <c r="O191" s="260">
        <v>224</v>
      </c>
      <c r="P191" s="235">
        <f>234+2073+762</f>
        <v>3069</v>
      </c>
    </row>
    <row r="192" spans="1:16" ht="14.25">
      <c r="A192" s="212"/>
      <c r="B192" s="93" t="s">
        <v>120</v>
      </c>
      <c r="C192" s="224"/>
      <c r="D192" s="224"/>
      <c r="E192" s="269"/>
      <c r="F192" s="216"/>
      <c r="G192" s="245"/>
      <c r="H192" s="368"/>
      <c r="I192" s="212"/>
      <c r="J192" s="51" t="s">
        <v>246</v>
      </c>
      <c r="K192" s="212" t="s">
        <v>53</v>
      </c>
      <c r="L192" s="205">
        <v>75</v>
      </c>
      <c r="M192" s="215"/>
      <c r="N192" s="215"/>
      <c r="O192" s="260">
        <v>711</v>
      </c>
      <c r="P192" s="235">
        <f>1500+1594+2500+919</f>
        <v>6513</v>
      </c>
    </row>
    <row r="193" spans="1:16" ht="14.25">
      <c r="A193" s="51"/>
      <c r="B193" s="256" t="s">
        <v>421</v>
      </c>
      <c r="C193" s="212" t="s">
        <v>61</v>
      </c>
      <c r="D193" s="212">
        <v>14116</v>
      </c>
      <c r="E193" s="269">
        <v>1</v>
      </c>
      <c r="F193" s="216">
        <v>1</v>
      </c>
      <c r="G193" s="261">
        <f aca="true" t="shared" si="21" ref="G193:G200">D193*E193*F193</f>
        <v>14116</v>
      </c>
      <c r="H193" s="361">
        <v>262678</v>
      </c>
      <c r="I193" s="205"/>
      <c r="J193" s="47" t="s">
        <v>228</v>
      </c>
      <c r="K193" s="212"/>
      <c r="L193" s="205"/>
      <c r="M193" s="205"/>
      <c r="N193" s="205"/>
      <c r="O193" s="272"/>
      <c r="P193" s="235">
        <f>P194+P195</f>
        <v>9000</v>
      </c>
    </row>
    <row r="194" spans="1:16" ht="14.25">
      <c r="A194" s="256"/>
      <c r="B194" s="51" t="s">
        <v>249</v>
      </c>
      <c r="C194" s="212" t="s">
        <v>61</v>
      </c>
      <c r="D194" s="212">
        <v>2222</v>
      </c>
      <c r="E194" s="269">
        <v>1</v>
      </c>
      <c r="F194" s="216">
        <v>1</v>
      </c>
      <c r="G194" s="215">
        <f t="shared" si="21"/>
        <v>2222</v>
      </c>
      <c r="H194" s="361">
        <v>58486</v>
      </c>
      <c r="I194" s="205"/>
      <c r="J194" s="47" t="s">
        <v>121</v>
      </c>
      <c r="K194" s="212" t="s">
        <v>80</v>
      </c>
      <c r="L194" s="215"/>
      <c r="M194" s="215"/>
      <c r="N194" s="215"/>
      <c r="O194" s="260"/>
      <c r="P194" s="223">
        <v>0</v>
      </c>
    </row>
    <row r="195" spans="1:16" ht="14.25">
      <c r="A195" s="256"/>
      <c r="B195" s="51" t="s">
        <v>243</v>
      </c>
      <c r="C195" s="212" t="s">
        <v>61</v>
      </c>
      <c r="D195" s="212">
        <v>507</v>
      </c>
      <c r="E195" s="269">
        <v>1</v>
      </c>
      <c r="F195" s="216">
        <v>1</v>
      </c>
      <c r="G195" s="215">
        <f t="shared" si="21"/>
        <v>507</v>
      </c>
      <c r="H195" s="361">
        <v>9800</v>
      </c>
      <c r="I195" s="205"/>
      <c r="J195" s="47" t="s">
        <v>492</v>
      </c>
      <c r="K195" s="212" t="s">
        <v>80</v>
      </c>
      <c r="L195" s="215">
        <v>2</v>
      </c>
      <c r="M195" s="215"/>
      <c r="N195" s="215"/>
      <c r="O195" s="260"/>
      <c r="P195" s="223">
        <v>9000</v>
      </c>
    </row>
    <row r="196" spans="1:16" ht="15">
      <c r="A196" s="256"/>
      <c r="B196" s="51" t="s">
        <v>422</v>
      </c>
      <c r="C196" s="212" t="s">
        <v>61</v>
      </c>
      <c r="D196" s="212">
        <v>710</v>
      </c>
      <c r="E196" s="269">
        <v>1</v>
      </c>
      <c r="F196" s="216">
        <v>1</v>
      </c>
      <c r="G196" s="261">
        <v>710</v>
      </c>
      <c r="H196" s="361">
        <v>17612</v>
      </c>
      <c r="I196" s="205"/>
      <c r="J196" s="93" t="s">
        <v>276</v>
      </c>
      <c r="K196" s="231"/>
      <c r="L196" s="231"/>
      <c r="M196" s="231"/>
      <c r="N196" s="231"/>
      <c r="O196" s="245"/>
      <c r="P196" s="206">
        <f>P188+P189+P193</f>
        <v>944227.9863461565</v>
      </c>
    </row>
    <row r="197" spans="1:16" ht="14.25" customHeight="1">
      <c r="A197" s="256"/>
      <c r="B197" s="51" t="s">
        <v>477</v>
      </c>
      <c r="C197" s="212" t="s">
        <v>61</v>
      </c>
      <c r="D197" s="212">
        <v>2057</v>
      </c>
      <c r="E197" s="269">
        <v>1</v>
      </c>
      <c r="F197" s="216">
        <v>1</v>
      </c>
      <c r="G197" s="261">
        <f t="shared" si="21"/>
        <v>2057</v>
      </c>
      <c r="H197" s="361">
        <v>66969</v>
      </c>
      <c r="I197" s="423" t="s">
        <v>221</v>
      </c>
      <c r="J197" s="424"/>
      <c r="K197" s="424"/>
      <c r="L197" s="424"/>
      <c r="M197" s="424"/>
      <c r="N197" s="424"/>
      <c r="O197" s="424"/>
      <c r="P197" s="424"/>
    </row>
    <row r="198" spans="1:16" ht="14.25" customHeight="1">
      <c r="A198" s="256"/>
      <c r="B198" s="51" t="s">
        <v>244</v>
      </c>
      <c r="C198" s="212" t="s">
        <v>61</v>
      </c>
      <c r="D198" s="212">
        <v>224</v>
      </c>
      <c r="E198" s="269">
        <v>1</v>
      </c>
      <c r="F198" s="216">
        <v>1</v>
      </c>
      <c r="G198" s="261">
        <f t="shared" si="21"/>
        <v>224</v>
      </c>
      <c r="H198" s="361">
        <v>4806</v>
      </c>
      <c r="I198" s="401" t="s">
        <v>265</v>
      </c>
      <c r="J198" s="395"/>
      <c r="K198" s="395"/>
      <c r="L198" s="395"/>
      <c r="M198" s="395"/>
      <c r="N198" s="395"/>
      <c r="O198" s="395"/>
      <c r="P198" s="395"/>
    </row>
    <row r="199" spans="1:16" ht="14.25">
      <c r="A199" s="256"/>
      <c r="B199" s="51" t="s">
        <v>645</v>
      </c>
      <c r="C199" s="212" t="s">
        <v>61</v>
      </c>
      <c r="D199" s="212">
        <v>10</v>
      </c>
      <c r="E199" s="269">
        <v>1</v>
      </c>
      <c r="F199" s="216">
        <v>1</v>
      </c>
      <c r="G199" s="261">
        <f t="shared" si="21"/>
        <v>10</v>
      </c>
      <c r="H199" s="361">
        <v>3163</v>
      </c>
      <c r="I199" s="212">
        <v>1</v>
      </c>
      <c r="J199" s="51" t="s">
        <v>127</v>
      </c>
      <c r="K199" s="212" t="s">
        <v>53</v>
      </c>
      <c r="L199" s="211">
        <f>379+2.05+7</f>
        <v>388.05</v>
      </c>
      <c r="M199" s="271">
        <v>220</v>
      </c>
      <c r="N199" s="243">
        <v>0.162</v>
      </c>
      <c r="O199" s="261">
        <f aca="true" t="shared" si="22" ref="O199:O225">L199*M199*N199</f>
        <v>13830.102</v>
      </c>
      <c r="P199" s="219">
        <f aca="true" t="shared" si="23" ref="P199:P225">481166/40423.48*O199</f>
        <v>164621.52340501113</v>
      </c>
    </row>
    <row r="200" spans="1:16" ht="14.25">
      <c r="A200" s="256"/>
      <c r="B200" s="51" t="s">
        <v>667</v>
      </c>
      <c r="C200" s="212" t="s">
        <v>61</v>
      </c>
      <c r="D200" s="212">
        <v>711</v>
      </c>
      <c r="E200" s="269">
        <v>1</v>
      </c>
      <c r="F200" s="216">
        <v>1</v>
      </c>
      <c r="G200" s="261">
        <f t="shared" si="21"/>
        <v>711</v>
      </c>
      <c r="H200" s="361">
        <v>21072</v>
      </c>
      <c r="I200" s="212">
        <v>2</v>
      </c>
      <c r="J200" s="51" t="s">
        <v>128</v>
      </c>
      <c r="K200" s="212" t="s">
        <v>53</v>
      </c>
      <c r="L200" s="212">
        <v>498.66</v>
      </c>
      <c r="M200" s="271">
        <v>180</v>
      </c>
      <c r="N200" s="243">
        <v>0.03</v>
      </c>
      <c r="O200" s="261">
        <f t="shared" si="22"/>
        <v>2692.764</v>
      </c>
      <c r="P200" s="219">
        <f t="shared" si="23"/>
        <v>32052.324115192456</v>
      </c>
    </row>
    <row r="201" spans="1:16" ht="14.25">
      <c r="A201" s="212"/>
      <c r="B201" s="93" t="s">
        <v>413</v>
      </c>
      <c r="C201" s="224"/>
      <c r="D201" s="224"/>
      <c r="E201" s="269"/>
      <c r="F201" s="216"/>
      <c r="G201" s="245">
        <f>SUM(G193:G200)</f>
        <v>20557</v>
      </c>
      <c r="H201" s="368">
        <f>SUM(H193:H200)</f>
        <v>444586</v>
      </c>
      <c r="I201" s="212">
        <v>3</v>
      </c>
      <c r="J201" s="51" t="s">
        <v>129</v>
      </c>
      <c r="K201" s="212" t="s">
        <v>80</v>
      </c>
      <c r="L201" s="212">
        <v>205</v>
      </c>
      <c r="M201" s="243">
        <v>220</v>
      </c>
      <c r="N201" s="243">
        <v>0.125</v>
      </c>
      <c r="O201" s="261">
        <f t="shared" si="22"/>
        <v>5637.5</v>
      </c>
      <c r="P201" s="219">
        <f t="shared" si="23"/>
        <v>67103.90409237402</v>
      </c>
    </row>
    <row r="202" spans="1:16" ht="15">
      <c r="A202" s="212"/>
      <c r="B202" s="93" t="s">
        <v>276</v>
      </c>
      <c r="C202" s="215"/>
      <c r="D202" s="212"/>
      <c r="E202" s="269"/>
      <c r="F202" s="216"/>
      <c r="G202" s="333">
        <f>G191+G201</f>
        <v>60435.33912</v>
      </c>
      <c r="H202" s="369">
        <f>H191+H201</f>
        <v>1044483.0018051814</v>
      </c>
      <c r="I202" s="212">
        <v>4</v>
      </c>
      <c r="J202" s="51" t="s">
        <v>130</v>
      </c>
      <c r="K202" s="212" t="s">
        <v>53</v>
      </c>
      <c r="L202" s="212">
        <v>406.39</v>
      </c>
      <c r="M202" s="243">
        <v>3</v>
      </c>
      <c r="N202" s="243">
        <v>1.6</v>
      </c>
      <c r="O202" s="261">
        <f t="shared" si="22"/>
        <v>1950.6720000000003</v>
      </c>
      <c r="P202" s="219">
        <f t="shared" si="23"/>
        <v>23219.10541972141</v>
      </c>
    </row>
    <row r="203" spans="1:16" ht="12.75">
      <c r="A203" s="205"/>
      <c r="B203" s="47" t="s">
        <v>603</v>
      </c>
      <c r="C203" s="212"/>
      <c r="D203" s="205"/>
      <c r="E203" s="205"/>
      <c r="F203" s="205"/>
      <c r="G203" s="272"/>
      <c r="H203" s="368">
        <f>H204+H205</f>
        <v>24000</v>
      </c>
      <c r="I203" s="212">
        <v>5</v>
      </c>
      <c r="J203" s="51" t="s">
        <v>131</v>
      </c>
      <c r="K203" s="212"/>
      <c r="L203" s="212"/>
      <c r="M203" s="243"/>
      <c r="N203" s="243"/>
      <c r="O203" s="261">
        <f t="shared" si="22"/>
        <v>0</v>
      </c>
      <c r="P203" s="219">
        <f t="shared" si="23"/>
        <v>0</v>
      </c>
    </row>
    <row r="204" spans="1:16" ht="12.75">
      <c r="A204" s="205"/>
      <c r="B204" s="47" t="s">
        <v>604</v>
      </c>
      <c r="C204" s="212" t="s">
        <v>80</v>
      </c>
      <c r="D204" s="215">
        <v>2</v>
      </c>
      <c r="E204" s="215"/>
      <c r="F204" s="215"/>
      <c r="G204" s="260"/>
      <c r="H204" s="361">
        <v>15000</v>
      </c>
      <c r="I204" s="212"/>
      <c r="J204" s="51" t="s">
        <v>132</v>
      </c>
      <c r="K204" s="212" t="s">
        <v>73</v>
      </c>
      <c r="L204" s="212">
        <v>4523</v>
      </c>
      <c r="M204" s="243">
        <v>1</v>
      </c>
      <c r="N204" s="243">
        <v>0.19</v>
      </c>
      <c r="O204" s="261">
        <f t="shared" si="22"/>
        <v>859.37</v>
      </c>
      <c r="P204" s="219">
        <f t="shared" si="23"/>
        <v>10229.19415696026</v>
      </c>
    </row>
    <row r="205" spans="1:16" ht="12.75">
      <c r="A205" s="205"/>
      <c r="B205" s="47" t="s">
        <v>492</v>
      </c>
      <c r="C205" s="212" t="s">
        <v>80</v>
      </c>
      <c r="D205" s="215">
        <v>2</v>
      </c>
      <c r="E205" s="215"/>
      <c r="F205" s="215"/>
      <c r="G205" s="260"/>
      <c r="H205" s="361">
        <v>9000</v>
      </c>
      <c r="I205" s="212"/>
      <c r="J205" s="51" t="s">
        <v>133</v>
      </c>
      <c r="K205" s="212" t="s">
        <v>73</v>
      </c>
      <c r="L205" s="212">
        <v>1802.4</v>
      </c>
      <c r="M205" s="243">
        <v>1</v>
      </c>
      <c r="N205" s="243">
        <v>0.263</v>
      </c>
      <c r="O205" s="261">
        <f t="shared" si="22"/>
        <v>474.03120000000007</v>
      </c>
      <c r="P205" s="219">
        <f t="shared" si="23"/>
        <v>5642.455730659508</v>
      </c>
    </row>
    <row r="206" spans="1:16" ht="18" customHeight="1">
      <c r="A206" s="205"/>
      <c r="B206" s="93" t="s">
        <v>276</v>
      </c>
      <c r="C206" s="231"/>
      <c r="D206" s="231"/>
      <c r="E206" s="231"/>
      <c r="F206" s="231"/>
      <c r="G206" s="245"/>
      <c r="H206" s="372">
        <f>H202+H203</f>
        <v>1068483.0018051814</v>
      </c>
      <c r="I206" s="212">
        <v>6</v>
      </c>
      <c r="J206" s="51" t="s">
        <v>134</v>
      </c>
      <c r="K206" s="212" t="s">
        <v>135</v>
      </c>
      <c r="L206" s="212">
        <v>3.5</v>
      </c>
      <c r="M206" s="243">
        <v>14</v>
      </c>
      <c r="N206" s="243">
        <v>1.35</v>
      </c>
      <c r="O206" s="261">
        <f t="shared" si="22"/>
        <v>66.15</v>
      </c>
      <c r="P206" s="219">
        <f t="shared" si="23"/>
        <v>787.3921517890097</v>
      </c>
    </row>
    <row r="207" spans="1:16" ht="12.75" customHeight="1">
      <c r="A207" s="421" t="s">
        <v>221</v>
      </c>
      <c r="B207" s="422"/>
      <c r="C207" s="422"/>
      <c r="D207" s="422"/>
      <c r="E207" s="422"/>
      <c r="F207" s="422"/>
      <c r="G207" s="422"/>
      <c r="H207" s="422"/>
      <c r="I207" s="212">
        <v>7</v>
      </c>
      <c r="J207" s="51" t="s">
        <v>136</v>
      </c>
      <c r="K207" s="212" t="s">
        <v>84</v>
      </c>
      <c r="L207" s="212">
        <v>2</v>
      </c>
      <c r="M207" s="243">
        <v>12</v>
      </c>
      <c r="N207" s="243">
        <v>2.1</v>
      </c>
      <c r="O207" s="261">
        <f t="shared" si="22"/>
        <v>50.400000000000006</v>
      </c>
      <c r="P207" s="219">
        <f t="shared" si="23"/>
        <v>599.9178299344836</v>
      </c>
    </row>
    <row r="208" spans="1:16" ht="12.75" customHeight="1">
      <c r="A208" s="421" t="s">
        <v>265</v>
      </c>
      <c r="B208" s="422"/>
      <c r="C208" s="422"/>
      <c r="D208" s="422"/>
      <c r="E208" s="422"/>
      <c r="F208" s="422"/>
      <c r="G208" s="422"/>
      <c r="H208" s="422"/>
      <c r="I208" s="212">
        <v>8</v>
      </c>
      <c r="J208" s="51" t="s">
        <v>137</v>
      </c>
      <c r="K208" s="212" t="s">
        <v>135</v>
      </c>
      <c r="L208" s="212">
        <v>1.5</v>
      </c>
      <c r="M208" s="243">
        <v>50</v>
      </c>
      <c r="N208" s="243">
        <v>2.75</v>
      </c>
      <c r="O208" s="261">
        <f t="shared" si="22"/>
        <v>206.25</v>
      </c>
      <c r="P208" s="219">
        <f t="shared" si="23"/>
        <v>2455.0208814283183</v>
      </c>
    </row>
    <row r="209" spans="1:16" ht="12.75" customHeight="1">
      <c r="A209" s="205">
        <v>1</v>
      </c>
      <c r="B209" s="205" t="s">
        <v>596</v>
      </c>
      <c r="C209" s="205"/>
      <c r="D209" s="205"/>
      <c r="E209" s="205"/>
      <c r="F209" s="205"/>
      <c r="G209" s="205"/>
      <c r="H209" s="373"/>
      <c r="I209" s="212">
        <v>9</v>
      </c>
      <c r="J209" s="51" t="s">
        <v>138</v>
      </c>
      <c r="K209" s="212" t="s">
        <v>135</v>
      </c>
      <c r="L209" s="212">
        <v>1.5</v>
      </c>
      <c r="M209" s="243">
        <v>50</v>
      </c>
      <c r="N209" s="243">
        <v>3.25</v>
      </c>
      <c r="O209" s="261">
        <f t="shared" si="22"/>
        <v>243.75</v>
      </c>
      <c r="P209" s="219">
        <f t="shared" si="23"/>
        <v>2901.388314415285</v>
      </c>
    </row>
    <row r="210" spans="1:16" ht="12.75">
      <c r="A210" s="212">
        <v>1</v>
      </c>
      <c r="B210" s="51" t="s">
        <v>127</v>
      </c>
      <c r="C210" s="212" t="s">
        <v>53</v>
      </c>
      <c r="D210" s="211">
        <f>379+2.05+7</f>
        <v>388.05</v>
      </c>
      <c r="E210" s="271">
        <v>220</v>
      </c>
      <c r="F210" s="243">
        <v>0.162</v>
      </c>
      <c r="G210" s="261">
        <f aca="true" t="shared" si="24" ref="G210:G236">D210*E210*F210</f>
        <v>13830.102</v>
      </c>
      <c r="H210" s="361">
        <f>460655/40015.476*G210</f>
        <v>159211.04216803517</v>
      </c>
      <c r="I210" s="212">
        <v>10</v>
      </c>
      <c r="J210" s="51" t="s">
        <v>139</v>
      </c>
      <c r="K210" s="212" t="s">
        <v>53</v>
      </c>
      <c r="L210" s="212">
        <v>249.56</v>
      </c>
      <c r="M210" s="243">
        <v>12</v>
      </c>
      <c r="N210" s="243">
        <v>0.03</v>
      </c>
      <c r="O210" s="261">
        <f t="shared" si="22"/>
        <v>89.8416</v>
      </c>
      <c r="P210" s="219">
        <f t="shared" si="23"/>
        <v>1069.3963831317838</v>
      </c>
    </row>
    <row r="211" spans="1:16" ht="12.75">
      <c r="A211" s="212">
        <v>2</v>
      </c>
      <c r="B211" s="51" t="s">
        <v>128</v>
      </c>
      <c r="C211" s="212" t="s">
        <v>53</v>
      </c>
      <c r="D211" s="212">
        <v>498.66</v>
      </c>
      <c r="E211" s="271">
        <v>180</v>
      </c>
      <c r="F211" s="243">
        <v>0.03</v>
      </c>
      <c r="G211" s="261">
        <f t="shared" si="24"/>
        <v>2692.764</v>
      </c>
      <c r="H211" s="361">
        <f aca="true" t="shared" si="25" ref="H211:H236">460655/40015.476*G211</f>
        <v>30998.88654129717</v>
      </c>
      <c r="I211" s="212">
        <v>11</v>
      </c>
      <c r="J211" s="51" t="s">
        <v>140</v>
      </c>
      <c r="K211" s="212" t="s">
        <v>53</v>
      </c>
      <c r="L211" s="212">
        <v>169.47</v>
      </c>
      <c r="M211" s="243">
        <v>40</v>
      </c>
      <c r="N211" s="243">
        <v>0.03</v>
      </c>
      <c r="O211" s="261">
        <f t="shared" si="22"/>
        <v>203.364</v>
      </c>
      <c r="P211" s="219">
        <f t="shared" si="23"/>
        <v>2420.668443785641</v>
      </c>
    </row>
    <row r="212" spans="1:16" ht="12.75">
      <c r="A212" s="212">
        <v>3</v>
      </c>
      <c r="B212" s="51" t="s">
        <v>129</v>
      </c>
      <c r="C212" s="212" t="s">
        <v>80</v>
      </c>
      <c r="D212" s="212">
        <v>205</v>
      </c>
      <c r="E212" s="243">
        <v>220</v>
      </c>
      <c r="F212" s="243">
        <v>0.125</v>
      </c>
      <c r="G212" s="261">
        <f t="shared" si="24"/>
        <v>5637.5</v>
      </c>
      <c r="H212" s="361">
        <f t="shared" si="25"/>
        <v>64898.454850318405</v>
      </c>
      <c r="I212" s="212">
        <v>12</v>
      </c>
      <c r="J212" s="51" t="s">
        <v>141</v>
      </c>
      <c r="K212" s="212" t="s">
        <v>53</v>
      </c>
      <c r="L212" s="212">
        <v>4.45</v>
      </c>
      <c r="M212" s="243">
        <v>6</v>
      </c>
      <c r="N212" s="243">
        <v>6.25</v>
      </c>
      <c r="O212" s="261">
        <f t="shared" si="22"/>
        <v>166.87500000000003</v>
      </c>
      <c r="P212" s="219">
        <f t="shared" si="23"/>
        <v>1986.335076792003</v>
      </c>
    </row>
    <row r="213" spans="1:16" ht="12.75">
      <c r="A213" s="212">
        <v>4</v>
      </c>
      <c r="B213" s="51" t="s">
        <v>130</v>
      </c>
      <c r="C213" s="212" t="s">
        <v>53</v>
      </c>
      <c r="D213" s="212">
        <v>406.39</v>
      </c>
      <c r="E213" s="243">
        <v>3</v>
      </c>
      <c r="F213" s="243">
        <v>1.6</v>
      </c>
      <c r="G213" s="261">
        <f t="shared" si="24"/>
        <v>1950.6720000000003</v>
      </c>
      <c r="H213" s="361">
        <f t="shared" si="25"/>
        <v>22455.982034550834</v>
      </c>
      <c r="I213" s="212">
        <v>13</v>
      </c>
      <c r="J213" s="51" t="s">
        <v>142</v>
      </c>
      <c r="K213" s="212" t="s">
        <v>73</v>
      </c>
      <c r="L213" s="212">
        <v>495</v>
      </c>
      <c r="M213" s="243">
        <v>6</v>
      </c>
      <c r="N213" s="243">
        <v>0.075</v>
      </c>
      <c r="O213" s="261">
        <f t="shared" si="22"/>
        <v>222.75</v>
      </c>
      <c r="P213" s="219">
        <f t="shared" si="23"/>
        <v>2651.4225519425836</v>
      </c>
    </row>
    <row r="214" spans="1:16" ht="12.75">
      <c r="A214" s="212">
        <v>5</v>
      </c>
      <c r="B214" s="51" t="s">
        <v>131</v>
      </c>
      <c r="C214" s="212"/>
      <c r="D214" s="212"/>
      <c r="E214" s="243"/>
      <c r="F214" s="243"/>
      <c r="G214" s="261">
        <f t="shared" si="24"/>
        <v>0</v>
      </c>
      <c r="H214" s="361">
        <f t="shared" si="25"/>
        <v>0</v>
      </c>
      <c r="I214" s="212">
        <v>14</v>
      </c>
      <c r="J214" s="51" t="s">
        <v>143</v>
      </c>
      <c r="K214" s="212" t="s">
        <v>53</v>
      </c>
      <c r="L214" s="212">
        <v>377.28</v>
      </c>
      <c r="M214" s="243">
        <v>6</v>
      </c>
      <c r="N214" s="243">
        <v>0.427</v>
      </c>
      <c r="O214" s="261">
        <f t="shared" si="22"/>
        <v>966.5913599999999</v>
      </c>
      <c r="P214" s="219">
        <f t="shared" si="23"/>
        <v>11505.464109615497</v>
      </c>
    </row>
    <row r="215" spans="1:16" ht="12.75">
      <c r="A215" s="212"/>
      <c r="B215" s="51" t="s">
        <v>132</v>
      </c>
      <c r="C215" s="212" t="s">
        <v>73</v>
      </c>
      <c r="D215" s="212">
        <v>4523</v>
      </c>
      <c r="E215" s="243">
        <v>1</v>
      </c>
      <c r="F215" s="243">
        <v>0.19</v>
      </c>
      <c r="G215" s="261">
        <f t="shared" si="24"/>
        <v>859.37</v>
      </c>
      <c r="H215" s="361">
        <f t="shared" si="25"/>
        <v>9892.999582211642</v>
      </c>
      <c r="I215" s="212">
        <v>15</v>
      </c>
      <c r="J215" s="51" t="s">
        <v>144</v>
      </c>
      <c r="K215" s="212" t="s">
        <v>53</v>
      </c>
      <c r="L215" s="212">
        <v>377.32</v>
      </c>
      <c r="M215" s="243">
        <v>6</v>
      </c>
      <c r="N215" s="243">
        <v>1.6</v>
      </c>
      <c r="O215" s="261">
        <f t="shared" si="22"/>
        <v>3622.2720000000004</v>
      </c>
      <c r="P215" s="219">
        <f t="shared" si="23"/>
        <v>43116.380112548446</v>
      </c>
    </row>
    <row r="216" spans="1:16" ht="12.75">
      <c r="A216" s="212"/>
      <c r="B216" s="51" t="s">
        <v>133</v>
      </c>
      <c r="C216" s="212" t="s">
        <v>73</v>
      </c>
      <c r="D216" s="212">
        <v>1802.4</v>
      </c>
      <c r="E216" s="243">
        <v>1</v>
      </c>
      <c r="F216" s="243">
        <v>0.263</v>
      </c>
      <c r="G216" s="261">
        <f t="shared" si="24"/>
        <v>474.03120000000007</v>
      </c>
      <c r="H216" s="361">
        <f t="shared" si="25"/>
        <v>5457.009743830113</v>
      </c>
      <c r="I216" s="212">
        <v>16</v>
      </c>
      <c r="J216" s="51" t="s">
        <v>145</v>
      </c>
      <c r="K216" s="212"/>
      <c r="L216" s="212"/>
      <c r="M216" s="243"/>
      <c r="N216" s="243"/>
      <c r="O216" s="261">
        <f t="shared" si="22"/>
        <v>0</v>
      </c>
      <c r="P216" s="219">
        <f t="shared" si="23"/>
        <v>0</v>
      </c>
    </row>
    <row r="217" spans="1:16" ht="12.75">
      <c r="A217" s="212">
        <v>6</v>
      </c>
      <c r="B217" s="51" t="s">
        <v>134</v>
      </c>
      <c r="C217" s="212" t="s">
        <v>135</v>
      </c>
      <c r="D217" s="212">
        <v>3.5</v>
      </c>
      <c r="E217" s="243">
        <v>14</v>
      </c>
      <c r="F217" s="243">
        <v>1.35</v>
      </c>
      <c r="G217" s="261">
        <f t="shared" si="24"/>
        <v>66.15</v>
      </c>
      <c r="H217" s="361">
        <f t="shared" si="25"/>
        <v>761.5135766471952</v>
      </c>
      <c r="I217" s="212"/>
      <c r="J217" s="51" t="s">
        <v>146</v>
      </c>
      <c r="K217" s="212"/>
      <c r="L217" s="212"/>
      <c r="M217" s="243"/>
      <c r="N217" s="243"/>
      <c r="O217" s="261">
        <f t="shared" si="22"/>
        <v>0</v>
      </c>
      <c r="P217" s="219">
        <f t="shared" si="23"/>
        <v>0</v>
      </c>
    </row>
    <row r="218" spans="1:16" ht="12.75">
      <c r="A218" s="212">
        <v>7</v>
      </c>
      <c r="B218" s="51" t="s">
        <v>136</v>
      </c>
      <c r="C218" s="212" t="s">
        <v>84</v>
      </c>
      <c r="D218" s="212">
        <v>2</v>
      </c>
      <c r="E218" s="243">
        <v>12</v>
      </c>
      <c r="F218" s="243">
        <v>2.1</v>
      </c>
      <c r="G218" s="261">
        <f t="shared" si="24"/>
        <v>50.400000000000006</v>
      </c>
      <c r="H218" s="361">
        <f t="shared" si="25"/>
        <v>580.200820302625</v>
      </c>
      <c r="I218" s="212"/>
      <c r="J218" s="51" t="s">
        <v>147</v>
      </c>
      <c r="K218" s="212" t="s">
        <v>53</v>
      </c>
      <c r="L218" s="212">
        <v>73.35</v>
      </c>
      <c r="M218" s="243">
        <v>42</v>
      </c>
      <c r="N218" s="243">
        <v>1.21</v>
      </c>
      <c r="O218" s="261">
        <f t="shared" si="22"/>
        <v>3727.6469999999995</v>
      </c>
      <c r="P218" s="219">
        <f t="shared" si="23"/>
        <v>44370.672599241814</v>
      </c>
    </row>
    <row r="219" spans="1:16" ht="12.75">
      <c r="A219" s="212">
        <v>8</v>
      </c>
      <c r="B219" s="51" t="s">
        <v>137</v>
      </c>
      <c r="C219" s="212" t="s">
        <v>135</v>
      </c>
      <c r="D219" s="212">
        <v>1.5</v>
      </c>
      <c r="E219" s="243">
        <v>50</v>
      </c>
      <c r="F219" s="243">
        <v>2.75</v>
      </c>
      <c r="G219" s="261">
        <f t="shared" si="24"/>
        <v>206.25</v>
      </c>
      <c r="H219" s="361">
        <f t="shared" si="25"/>
        <v>2374.333714036039</v>
      </c>
      <c r="I219" s="212"/>
      <c r="J219" s="51" t="s">
        <v>148</v>
      </c>
      <c r="K219" s="212" t="s">
        <v>53</v>
      </c>
      <c r="L219" s="212">
        <v>73.35</v>
      </c>
      <c r="M219" s="243">
        <v>20</v>
      </c>
      <c r="N219" s="243">
        <v>1.43</v>
      </c>
      <c r="O219" s="261">
        <f t="shared" si="22"/>
        <v>2097.81</v>
      </c>
      <c r="P219" s="219">
        <f t="shared" si="23"/>
        <v>24970.50838918371</v>
      </c>
    </row>
    <row r="220" spans="1:16" ht="12.75">
      <c r="A220" s="212">
        <v>9</v>
      </c>
      <c r="B220" s="51" t="s">
        <v>138</v>
      </c>
      <c r="C220" s="212" t="s">
        <v>135</v>
      </c>
      <c r="D220" s="212">
        <v>1.5</v>
      </c>
      <c r="E220" s="243">
        <v>50</v>
      </c>
      <c r="F220" s="243">
        <v>3.25</v>
      </c>
      <c r="G220" s="261">
        <f t="shared" si="24"/>
        <v>243.75</v>
      </c>
      <c r="H220" s="361">
        <f t="shared" si="25"/>
        <v>2806.0307529516826</v>
      </c>
      <c r="I220" s="212">
        <v>17</v>
      </c>
      <c r="J220" s="51" t="s">
        <v>149</v>
      </c>
      <c r="K220" s="212" t="s">
        <v>53</v>
      </c>
      <c r="L220" s="212">
        <v>79.3</v>
      </c>
      <c r="M220" s="243">
        <v>40</v>
      </c>
      <c r="N220" s="243">
        <v>0.4</v>
      </c>
      <c r="O220" s="261">
        <f t="shared" si="22"/>
        <v>1268.8000000000002</v>
      </c>
      <c r="P220" s="219">
        <f t="shared" si="23"/>
        <v>15102.693305969698</v>
      </c>
    </row>
    <row r="221" spans="1:16" ht="12.75">
      <c r="A221" s="212">
        <v>10</v>
      </c>
      <c r="B221" s="51" t="s">
        <v>139</v>
      </c>
      <c r="C221" s="212" t="s">
        <v>53</v>
      </c>
      <c r="D221" s="212">
        <v>249.56</v>
      </c>
      <c r="E221" s="243">
        <v>12</v>
      </c>
      <c r="F221" s="243">
        <v>0.03</v>
      </c>
      <c r="G221" s="261">
        <f t="shared" si="24"/>
        <v>89.8416</v>
      </c>
      <c r="H221" s="361">
        <f t="shared" si="25"/>
        <v>1034.2494051051647</v>
      </c>
      <c r="I221" s="212">
        <v>18</v>
      </c>
      <c r="J221" s="51" t="s">
        <v>150</v>
      </c>
      <c r="K221" s="212" t="s">
        <v>80</v>
      </c>
      <c r="L221" s="212">
        <v>140</v>
      </c>
      <c r="M221" s="243">
        <v>20</v>
      </c>
      <c r="N221" s="243">
        <v>0.04</v>
      </c>
      <c r="O221" s="261">
        <f t="shared" si="22"/>
        <v>112</v>
      </c>
      <c r="P221" s="219">
        <f t="shared" si="23"/>
        <v>1333.1507331877413</v>
      </c>
    </row>
    <row r="222" spans="1:16" ht="12.75">
      <c r="A222" s="212">
        <v>11</v>
      </c>
      <c r="B222" s="51" t="s">
        <v>140</v>
      </c>
      <c r="C222" s="212" t="s">
        <v>53</v>
      </c>
      <c r="D222" s="212">
        <v>169.47</v>
      </c>
      <c r="E222" s="243">
        <v>40</v>
      </c>
      <c r="F222" s="243">
        <v>0.03</v>
      </c>
      <c r="G222" s="261">
        <f t="shared" si="24"/>
        <v>203.364</v>
      </c>
      <c r="H222" s="361">
        <f t="shared" si="25"/>
        <v>2341.1103099210914</v>
      </c>
      <c r="I222" s="212">
        <v>19</v>
      </c>
      <c r="J222" s="51" t="s">
        <v>151</v>
      </c>
      <c r="K222" s="212"/>
      <c r="L222" s="212"/>
      <c r="M222" s="243"/>
      <c r="N222" s="243"/>
      <c r="O222" s="261">
        <f t="shared" si="22"/>
        <v>0</v>
      </c>
      <c r="P222" s="219">
        <f t="shared" si="23"/>
        <v>0</v>
      </c>
    </row>
    <row r="223" spans="1:16" ht="12.75">
      <c r="A223" s="212">
        <v>12</v>
      </c>
      <c r="B223" s="51" t="s">
        <v>141</v>
      </c>
      <c r="C223" s="212" t="s">
        <v>53</v>
      </c>
      <c r="D223" s="212">
        <v>4.45</v>
      </c>
      <c r="E223" s="243">
        <v>6</v>
      </c>
      <c r="F223" s="243">
        <v>6.25</v>
      </c>
      <c r="G223" s="261">
        <f t="shared" si="24"/>
        <v>166.87500000000003</v>
      </c>
      <c r="H223" s="361">
        <f t="shared" si="25"/>
        <v>1921.051823174614</v>
      </c>
      <c r="I223" s="212"/>
      <c r="J223" s="51" t="s">
        <v>152</v>
      </c>
      <c r="K223" s="212" t="s">
        <v>65</v>
      </c>
      <c r="L223" s="212">
        <v>6.8</v>
      </c>
      <c r="M223" s="243">
        <v>6</v>
      </c>
      <c r="N223" s="243">
        <v>0.92</v>
      </c>
      <c r="O223" s="261">
        <f t="shared" si="22"/>
        <v>37.536</v>
      </c>
      <c r="P223" s="219">
        <f t="shared" si="23"/>
        <v>446.7959457226344</v>
      </c>
    </row>
    <row r="224" spans="1:16" ht="12.75">
      <c r="A224" s="212">
        <v>13</v>
      </c>
      <c r="B224" s="51" t="s">
        <v>142</v>
      </c>
      <c r="C224" s="212" t="s">
        <v>73</v>
      </c>
      <c r="D224" s="212">
        <v>495</v>
      </c>
      <c r="E224" s="243">
        <v>6</v>
      </c>
      <c r="F224" s="243">
        <v>0.075</v>
      </c>
      <c r="G224" s="261">
        <f t="shared" si="24"/>
        <v>222.75</v>
      </c>
      <c r="H224" s="361">
        <f t="shared" si="25"/>
        <v>2564.2804111589226</v>
      </c>
      <c r="I224" s="212">
        <v>20</v>
      </c>
      <c r="J224" s="270" t="s">
        <v>414</v>
      </c>
      <c r="K224" s="212" t="s">
        <v>80</v>
      </c>
      <c r="L224" s="212">
        <v>200</v>
      </c>
      <c r="M224" s="243">
        <v>1</v>
      </c>
      <c r="N224" s="243">
        <v>0.115</v>
      </c>
      <c r="O224" s="261">
        <f t="shared" si="22"/>
        <v>23</v>
      </c>
      <c r="P224" s="219">
        <f t="shared" si="23"/>
        <v>273.77202556533973</v>
      </c>
    </row>
    <row r="225" spans="1:16" ht="12.75">
      <c r="A225" s="212">
        <v>14</v>
      </c>
      <c r="B225" s="51" t="s">
        <v>143</v>
      </c>
      <c r="C225" s="212" t="s">
        <v>53</v>
      </c>
      <c r="D225" s="212">
        <v>377.28</v>
      </c>
      <c r="E225" s="243">
        <v>6</v>
      </c>
      <c r="F225" s="243">
        <v>0.427</v>
      </c>
      <c r="G225" s="261">
        <f t="shared" si="24"/>
        <v>966.5913599999999</v>
      </c>
      <c r="H225" s="361">
        <f t="shared" si="25"/>
        <v>11127.32341209186</v>
      </c>
      <c r="I225" s="212">
        <v>21</v>
      </c>
      <c r="J225" s="51" t="s">
        <v>153</v>
      </c>
      <c r="K225" s="212" t="s">
        <v>61</v>
      </c>
      <c r="L225" s="212">
        <f>21*8</f>
        <v>168</v>
      </c>
      <c r="M225" s="243">
        <v>8</v>
      </c>
      <c r="N225" s="243">
        <v>1</v>
      </c>
      <c r="O225" s="261">
        <f t="shared" si="22"/>
        <v>1344</v>
      </c>
      <c r="P225" s="219">
        <f t="shared" si="23"/>
        <v>15997.808798252894</v>
      </c>
    </row>
    <row r="226" spans="1:16" ht="12.75">
      <c r="A226" s="212">
        <v>15</v>
      </c>
      <c r="B226" s="51" t="s">
        <v>144</v>
      </c>
      <c r="C226" s="212" t="s">
        <v>53</v>
      </c>
      <c r="D226" s="212">
        <v>377.32</v>
      </c>
      <c r="E226" s="243">
        <v>6</v>
      </c>
      <c r="F226" s="243">
        <v>1.6</v>
      </c>
      <c r="G226" s="261">
        <f t="shared" si="24"/>
        <v>3622.2720000000004</v>
      </c>
      <c r="H226" s="361">
        <f t="shared" si="25"/>
        <v>41699.30924125456</v>
      </c>
      <c r="I226" s="212"/>
      <c r="J226" s="47" t="s">
        <v>362</v>
      </c>
      <c r="K226" s="212"/>
      <c r="L226" s="212"/>
      <c r="M226" s="243"/>
      <c r="N226" s="243"/>
      <c r="O226" s="207">
        <f>SUM(O199:O225)</f>
        <v>39893.476160000006</v>
      </c>
      <c r="P226" s="242">
        <f>SUM(P199:P225)</f>
        <v>474857.29457242554</v>
      </c>
    </row>
    <row r="227" spans="1:16" ht="12.75">
      <c r="A227" s="212">
        <v>16</v>
      </c>
      <c r="B227" s="51" t="s">
        <v>145</v>
      </c>
      <c r="C227" s="212"/>
      <c r="D227" s="212"/>
      <c r="E227" s="243"/>
      <c r="F227" s="243"/>
      <c r="G227" s="261">
        <f t="shared" si="24"/>
        <v>0</v>
      </c>
      <c r="H227" s="361">
        <f t="shared" si="25"/>
        <v>0</v>
      </c>
      <c r="I227" s="212">
        <v>22</v>
      </c>
      <c r="J227" s="93" t="s">
        <v>508</v>
      </c>
      <c r="K227" s="212"/>
      <c r="L227" s="212"/>
      <c r="M227" s="243"/>
      <c r="N227" s="243"/>
      <c r="O227" s="215" t="s">
        <v>476</v>
      </c>
      <c r="P227" s="219"/>
    </row>
    <row r="228" spans="1:16" ht="12.75">
      <c r="A228" s="212"/>
      <c r="B228" s="51" t="s">
        <v>146</v>
      </c>
      <c r="C228" s="212"/>
      <c r="D228" s="212"/>
      <c r="E228" s="243"/>
      <c r="F228" s="243"/>
      <c r="G228" s="261">
        <f t="shared" si="24"/>
        <v>0</v>
      </c>
      <c r="H228" s="361">
        <f t="shared" si="25"/>
        <v>0</v>
      </c>
      <c r="I228" s="212"/>
      <c r="J228" s="51" t="s">
        <v>542</v>
      </c>
      <c r="K228" s="215" t="s">
        <v>476</v>
      </c>
      <c r="L228" s="212">
        <v>400</v>
      </c>
      <c r="M228" s="243">
        <v>1</v>
      </c>
      <c r="N228" s="243">
        <v>1</v>
      </c>
      <c r="O228" s="212">
        <v>400</v>
      </c>
      <c r="P228" s="219">
        <f>481166/40423.48*O228</f>
        <v>4761.252618527647</v>
      </c>
    </row>
    <row r="229" spans="1:16" ht="12.75">
      <c r="A229" s="212"/>
      <c r="B229" s="51" t="s">
        <v>147</v>
      </c>
      <c r="C229" s="212" t="s">
        <v>53</v>
      </c>
      <c r="D229" s="212">
        <v>73.35</v>
      </c>
      <c r="E229" s="243">
        <v>42</v>
      </c>
      <c r="F229" s="243">
        <v>1.21</v>
      </c>
      <c r="G229" s="261">
        <f t="shared" si="24"/>
        <v>3727.6469999999995</v>
      </c>
      <c r="H229" s="361">
        <f t="shared" si="25"/>
        <v>42912.377920607505</v>
      </c>
      <c r="I229" s="212"/>
      <c r="J229" s="51" t="s">
        <v>451</v>
      </c>
      <c r="K229" s="215" t="s">
        <v>476</v>
      </c>
      <c r="L229" s="212">
        <v>60</v>
      </c>
      <c r="M229" s="243">
        <v>1</v>
      </c>
      <c r="N229" s="243">
        <v>1</v>
      </c>
      <c r="O229" s="212">
        <v>60</v>
      </c>
      <c r="P229" s="219">
        <f>481166/40423.48*O229</f>
        <v>714.1878927791471</v>
      </c>
    </row>
    <row r="230" spans="1:16" ht="12.75">
      <c r="A230" s="212"/>
      <c r="B230" s="51" t="s">
        <v>148</v>
      </c>
      <c r="C230" s="212" t="s">
        <v>53</v>
      </c>
      <c r="D230" s="212">
        <v>73.35</v>
      </c>
      <c r="E230" s="243">
        <v>20</v>
      </c>
      <c r="F230" s="243">
        <v>1.43</v>
      </c>
      <c r="G230" s="261">
        <f t="shared" si="24"/>
        <v>2097.81</v>
      </c>
      <c r="H230" s="361">
        <f t="shared" si="25"/>
        <v>24149.823072203362</v>
      </c>
      <c r="I230" s="212"/>
      <c r="J230" s="51" t="s">
        <v>452</v>
      </c>
      <c r="K230" s="215" t="s">
        <v>476</v>
      </c>
      <c r="L230" s="212">
        <v>20</v>
      </c>
      <c r="M230" s="243">
        <v>1</v>
      </c>
      <c r="N230" s="243">
        <v>1</v>
      </c>
      <c r="O230" s="212">
        <v>20</v>
      </c>
      <c r="P230" s="219">
        <f>481166/40423.48*O230</f>
        <v>238.06263092638235</v>
      </c>
    </row>
    <row r="231" spans="1:16" ht="12.75">
      <c r="A231" s="212">
        <v>17</v>
      </c>
      <c r="B231" s="51" t="s">
        <v>149</v>
      </c>
      <c r="C231" s="212" t="s">
        <v>53</v>
      </c>
      <c r="D231" s="212">
        <v>79.3</v>
      </c>
      <c r="E231" s="243">
        <v>40</v>
      </c>
      <c r="F231" s="243">
        <v>0.4</v>
      </c>
      <c r="G231" s="261">
        <f t="shared" si="24"/>
        <v>1268.8000000000002</v>
      </c>
      <c r="H231" s="361">
        <f t="shared" si="25"/>
        <v>14606.325412697828</v>
      </c>
      <c r="I231" s="212"/>
      <c r="J231" s="51" t="s">
        <v>453</v>
      </c>
      <c r="K231" s="215" t="s">
        <v>476</v>
      </c>
      <c r="L231" s="212">
        <v>50</v>
      </c>
      <c r="M231" s="243">
        <v>1</v>
      </c>
      <c r="N231" s="243">
        <v>1</v>
      </c>
      <c r="O231" s="212">
        <v>50</v>
      </c>
      <c r="P231" s="219">
        <f>481166/40423.48*O231</f>
        <v>595.1565773159559</v>
      </c>
    </row>
    <row r="232" spans="1:16" ht="12.75">
      <c r="A232" s="212">
        <v>18</v>
      </c>
      <c r="B232" s="51" t="s">
        <v>150</v>
      </c>
      <c r="C232" s="212" t="s">
        <v>80</v>
      </c>
      <c r="D232" s="212">
        <v>140</v>
      </c>
      <c r="E232" s="243">
        <v>20</v>
      </c>
      <c r="F232" s="243">
        <v>0.04</v>
      </c>
      <c r="G232" s="261">
        <f t="shared" si="24"/>
        <v>112</v>
      </c>
      <c r="H232" s="361">
        <f t="shared" si="25"/>
        <v>1289.3351562280552</v>
      </c>
      <c r="I232" s="212"/>
      <c r="J232" s="47" t="s">
        <v>413</v>
      </c>
      <c r="K232" s="212"/>
      <c r="L232" s="212"/>
      <c r="M232" s="243"/>
      <c r="N232" s="243"/>
      <c r="O232" s="207">
        <f>SUM(O228:O231)</f>
        <v>530</v>
      </c>
      <c r="P232" s="219">
        <f>481166/40423.48*O232</f>
        <v>6308.659719549132</v>
      </c>
    </row>
    <row r="233" spans="1:16" ht="15">
      <c r="A233" s="212">
        <v>19</v>
      </c>
      <c r="B233" s="51" t="s">
        <v>587</v>
      </c>
      <c r="C233" s="212" t="s">
        <v>65</v>
      </c>
      <c r="D233" s="212">
        <v>6.8</v>
      </c>
      <c r="E233" s="243">
        <v>6</v>
      </c>
      <c r="F233" s="243">
        <v>0.92</v>
      </c>
      <c r="G233" s="261">
        <f>D233*E233*F233</f>
        <v>37.536</v>
      </c>
      <c r="H233" s="361">
        <f t="shared" si="25"/>
        <v>432.1114680730025</v>
      </c>
      <c r="I233" s="212"/>
      <c r="J233" s="93" t="s">
        <v>525</v>
      </c>
      <c r="K233" s="212"/>
      <c r="L233" s="212"/>
      <c r="M233" s="243"/>
      <c r="N233" s="243"/>
      <c r="O233" s="259">
        <f>O226+O232</f>
        <v>40423.476160000006</v>
      </c>
      <c r="P233" s="206">
        <f>P226+P232</f>
        <v>481165.95429197466</v>
      </c>
    </row>
    <row r="234" spans="1:16" ht="14.25">
      <c r="A234" s="212">
        <v>20</v>
      </c>
      <c r="B234" s="51" t="s">
        <v>115</v>
      </c>
      <c r="C234" s="212" t="s">
        <v>61</v>
      </c>
      <c r="D234" s="212">
        <f>4*8</f>
        <v>32</v>
      </c>
      <c r="E234" s="243">
        <v>3</v>
      </c>
      <c r="F234" s="243">
        <v>1</v>
      </c>
      <c r="G234" s="261">
        <f t="shared" si="24"/>
        <v>96</v>
      </c>
      <c r="H234" s="361">
        <f t="shared" si="25"/>
        <v>1105.1444196240473</v>
      </c>
      <c r="I234" s="212">
        <v>23</v>
      </c>
      <c r="J234" s="93" t="s">
        <v>154</v>
      </c>
      <c r="K234" s="224"/>
      <c r="L234" s="224"/>
      <c r="M234" s="269"/>
      <c r="N234" s="231"/>
      <c r="O234" s="245">
        <f>O235+O236+O237+O238+O239+O240+O241</f>
        <v>6303</v>
      </c>
      <c r="P234" s="245">
        <f>P235+P236+P237+P238+P239+P240+P241</f>
        <v>102983</v>
      </c>
    </row>
    <row r="235" spans="1:16" ht="12.75">
      <c r="A235" s="212">
        <v>21</v>
      </c>
      <c r="B235" s="270" t="s">
        <v>414</v>
      </c>
      <c r="C235" s="212" t="s">
        <v>80</v>
      </c>
      <c r="D235" s="212">
        <v>200</v>
      </c>
      <c r="E235" s="243">
        <v>1</v>
      </c>
      <c r="F235" s="243">
        <v>0.115</v>
      </c>
      <c r="G235" s="261">
        <f t="shared" si="24"/>
        <v>23</v>
      </c>
      <c r="H235" s="361">
        <f t="shared" si="25"/>
        <v>264.77418386826133</v>
      </c>
      <c r="I235" s="212"/>
      <c r="J235" s="51" t="s">
        <v>540</v>
      </c>
      <c r="K235" s="208" t="s">
        <v>53</v>
      </c>
      <c r="L235" s="208">
        <f>7.3+0.12+0.69+0.14+0.2+0.08</f>
        <v>8.53</v>
      </c>
      <c r="M235" s="205"/>
      <c r="N235" s="205"/>
      <c r="O235" s="260">
        <v>999</v>
      </c>
      <c r="P235" s="255">
        <f>4391+3000+9913+3645</f>
        <v>20949</v>
      </c>
    </row>
    <row r="236" spans="1:16" ht="12.75">
      <c r="A236" s="212">
        <v>22</v>
      </c>
      <c r="B236" s="51" t="s">
        <v>153</v>
      </c>
      <c r="C236" s="212" t="s">
        <v>61</v>
      </c>
      <c r="D236" s="212">
        <f>21*8</f>
        <v>168</v>
      </c>
      <c r="E236" s="243">
        <v>5</v>
      </c>
      <c r="F236" s="243">
        <v>1</v>
      </c>
      <c r="G236" s="261">
        <f t="shared" si="24"/>
        <v>840</v>
      </c>
      <c r="H236" s="361">
        <f t="shared" si="25"/>
        <v>9670.013671710414</v>
      </c>
      <c r="I236" s="212"/>
      <c r="J236" s="51" t="s">
        <v>193</v>
      </c>
      <c r="K236" s="208" t="s">
        <v>53</v>
      </c>
      <c r="L236" s="208">
        <v>135.26</v>
      </c>
      <c r="M236" s="205"/>
      <c r="N236" s="205"/>
      <c r="O236" s="260">
        <v>3717</v>
      </c>
      <c r="P236" s="255">
        <f>3840+34401+12649</f>
        <v>50890</v>
      </c>
    </row>
    <row r="237" spans="1:16" ht="12.75">
      <c r="A237" s="212"/>
      <c r="B237" s="47" t="s">
        <v>413</v>
      </c>
      <c r="C237" s="212"/>
      <c r="D237" s="212"/>
      <c r="E237" s="243"/>
      <c r="F237" s="243"/>
      <c r="G237" s="288">
        <f>SUM(G210:G236)</f>
        <v>39485.476160000006</v>
      </c>
      <c r="H237" s="368">
        <f>SUM(H210:H236)</f>
        <v>454553.68369189976</v>
      </c>
      <c r="I237" s="212"/>
      <c r="J237" s="51" t="s">
        <v>261</v>
      </c>
      <c r="K237" s="208" t="s">
        <v>53</v>
      </c>
      <c r="L237" s="205">
        <f>0.04+0.1025+0.11+0.02</f>
        <v>0.2725</v>
      </c>
      <c r="M237" s="205"/>
      <c r="N237" s="205"/>
      <c r="O237" s="260">
        <v>88</v>
      </c>
      <c r="P237" s="255">
        <f>504+928+341+40</f>
        <v>1813</v>
      </c>
    </row>
    <row r="238" spans="1:16" ht="12.75">
      <c r="A238" s="212">
        <v>25</v>
      </c>
      <c r="B238" s="93" t="s">
        <v>508</v>
      </c>
      <c r="C238" s="212"/>
      <c r="D238" s="212"/>
      <c r="E238" s="243"/>
      <c r="F238" s="243"/>
      <c r="G238" s="215" t="s">
        <v>476</v>
      </c>
      <c r="H238" s="361"/>
      <c r="I238" s="212"/>
      <c r="J238" s="51" t="s">
        <v>262</v>
      </c>
      <c r="K238" s="208" t="s">
        <v>53</v>
      </c>
      <c r="L238" s="205">
        <v>0.31</v>
      </c>
      <c r="M238" s="205"/>
      <c r="N238" s="205"/>
      <c r="O238" s="260">
        <v>30</v>
      </c>
      <c r="P238" s="255">
        <f>111+293+108</f>
        <v>512</v>
      </c>
    </row>
    <row r="239" spans="1:16" ht="25.5">
      <c r="A239" s="212"/>
      <c r="B239" s="51" t="s">
        <v>595</v>
      </c>
      <c r="C239" s="215" t="s">
        <v>476</v>
      </c>
      <c r="D239" s="212">
        <v>400</v>
      </c>
      <c r="E239" s="243">
        <v>1</v>
      </c>
      <c r="F239" s="243">
        <v>1</v>
      </c>
      <c r="G239" s="212">
        <v>400</v>
      </c>
      <c r="H239" s="361">
        <f>460655/40015.476*G239</f>
        <v>4604.768415100198</v>
      </c>
      <c r="I239" s="212"/>
      <c r="J239" s="268" t="s">
        <v>338</v>
      </c>
      <c r="K239" s="210" t="s">
        <v>53</v>
      </c>
      <c r="L239" s="231">
        <v>0.04</v>
      </c>
      <c r="M239" s="231"/>
      <c r="N239" s="231"/>
      <c r="O239" s="252">
        <v>6</v>
      </c>
      <c r="P239" s="267">
        <f>30+62+23</f>
        <v>115</v>
      </c>
    </row>
    <row r="240" spans="1:16" ht="12.75">
      <c r="A240" s="212"/>
      <c r="B240" s="51" t="s">
        <v>451</v>
      </c>
      <c r="C240" s="215" t="s">
        <v>476</v>
      </c>
      <c r="D240" s="212">
        <v>60</v>
      </c>
      <c r="E240" s="243">
        <v>1</v>
      </c>
      <c r="F240" s="243">
        <v>1</v>
      </c>
      <c r="G240" s="212">
        <v>60</v>
      </c>
      <c r="H240" s="361">
        <f>460655/40015.476*G240</f>
        <v>690.7152622650297</v>
      </c>
      <c r="I240" s="212"/>
      <c r="J240" s="51" t="s">
        <v>359</v>
      </c>
      <c r="K240" s="208" t="s">
        <v>53</v>
      </c>
      <c r="L240" s="205">
        <f>3.95+1.7+0.3+0.1+1+0.9+0.2</f>
        <v>8.15</v>
      </c>
      <c r="M240" s="205"/>
      <c r="N240" s="205"/>
      <c r="O240" s="260">
        <v>1230</v>
      </c>
      <c r="P240" s="255">
        <f>4846+142+1470+12261+4508</f>
        <v>23227</v>
      </c>
    </row>
    <row r="241" spans="1:16" ht="12.75">
      <c r="A241" s="212"/>
      <c r="B241" s="51" t="s">
        <v>452</v>
      </c>
      <c r="C241" s="215" t="s">
        <v>476</v>
      </c>
      <c r="D241" s="212">
        <v>20</v>
      </c>
      <c r="E241" s="243">
        <v>1</v>
      </c>
      <c r="F241" s="243">
        <v>1</v>
      </c>
      <c r="G241" s="212">
        <v>20</v>
      </c>
      <c r="H241" s="361">
        <f>460655/40015.476*G241</f>
        <v>230.23842075500988</v>
      </c>
      <c r="I241" s="212"/>
      <c r="J241" s="51" t="s">
        <v>417</v>
      </c>
      <c r="K241" s="208" t="s">
        <v>53</v>
      </c>
      <c r="L241" s="205">
        <v>0.396</v>
      </c>
      <c r="M241" s="205"/>
      <c r="N241" s="205"/>
      <c r="O241" s="260">
        <v>233</v>
      </c>
      <c r="P241" s="255">
        <f>1981+2556+940</f>
        <v>5477</v>
      </c>
    </row>
    <row r="242" spans="1:16" ht="12.75">
      <c r="A242" s="212"/>
      <c r="B242" s="51" t="s">
        <v>573</v>
      </c>
      <c r="C242" s="215" t="s">
        <v>476</v>
      </c>
      <c r="D242" s="212">
        <v>50</v>
      </c>
      <c r="E242" s="243">
        <v>1</v>
      </c>
      <c r="F242" s="243">
        <v>1</v>
      </c>
      <c r="G242" s="212">
        <v>50</v>
      </c>
      <c r="H242" s="361">
        <f>460655/40015.476*G242</f>
        <v>575.5960518875247</v>
      </c>
      <c r="I242" s="212">
        <v>24</v>
      </c>
      <c r="J242" s="47" t="s">
        <v>228</v>
      </c>
      <c r="K242" s="208"/>
      <c r="L242" s="205"/>
      <c r="M242" s="205"/>
      <c r="N242" s="205"/>
      <c r="O242" s="207"/>
      <c r="P242" s="255">
        <f>P243</f>
        <v>7700</v>
      </c>
    </row>
    <row r="243" spans="1:16" ht="12.75">
      <c r="A243" s="212"/>
      <c r="B243" s="47" t="s">
        <v>413</v>
      </c>
      <c r="C243" s="212"/>
      <c r="D243" s="212"/>
      <c r="E243" s="243"/>
      <c r="F243" s="243"/>
      <c r="G243" s="207">
        <f>SUM(G239:G242)</f>
        <v>530</v>
      </c>
      <c r="H243" s="368">
        <f>SUM(H239:H242)</f>
        <v>6101.318150007762</v>
      </c>
      <c r="I243" s="212"/>
      <c r="J243" s="47" t="s">
        <v>264</v>
      </c>
      <c r="K243" s="208" t="s">
        <v>80</v>
      </c>
      <c r="L243" s="205">
        <v>7</v>
      </c>
      <c r="M243" s="215"/>
      <c r="N243" s="215"/>
      <c r="O243" s="260"/>
      <c r="P243" s="255">
        <v>7700</v>
      </c>
    </row>
    <row r="244" spans="1:16" ht="18" customHeight="1">
      <c r="A244" s="212"/>
      <c r="B244" s="2" t="s">
        <v>662</v>
      </c>
      <c r="C244" s="329"/>
      <c r="D244" s="329"/>
      <c r="E244" s="329"/>
      <c r="F244" s="329"/>
      <c r="G244" s="332">
        <f>G237+G243</f>
        <v>40015.476160000006</v>
      </c>
      <c r="H244" s="372">
        <f>H237+H243</f>
        <v>460655.0018419075</v>
      </c>
      <c r="I244" s="266"/>
      <c r="J244" s="93" t="s">
        <v>219</v>
      </c>
      <c r="K244" s="266"/>
      <c r="L244" s="266"/>
      <c r="M244" s="231"/>
      <c r="N244" s="231"/>
      <c r="P244" s="265">
        <f>P233+P234+P242</f>
        <v>591848.9542919747</v>
      </c>
    </row>
    <row r="245" spans="1:16" ht="14.25" customHeight="1">
      <c r="A245" s="212">
        <v>23</v>
      </c>
      <c r="B245" s="93" t="s">
        <v>154</v>
      </c>
      <c r="C245" s="212"/>
      <c r="D245" s="212"/>
      <c r="E245" s="243"/>
      <c r="F245" s="243"/>
      <c r="G245" s="261"/>
      <c r="H245" s="361"/>
      <c r="I245" s="423" t="s">
        <v>222</v>
      </c>
      <c r="J245" s="424"/>
      <c r="K245" s="424"/>
      <c r="L245" s="424"/>
      <c r="M245" s="424"/>
      <c r="N245" s="424"/>
      <c r="O245" s="424"/>
      <c r="P245" s="424"/>
    </row>
    <row r="246" spans="1:16" ht="12.75" customHeight="1">
      <c r="A246" s="212">
        <v>24</v>
      </c>
      <c r="B246" s="51" t="s">
        <v>628</v>
      </c>
      <c r="C246" s="212" t="s">
        <v>61</v>
      </c>
      <c r="D246" s="261">
        <v>1270</v>
      </c>
      <c r="E246" s="243">
        <v>1</v>
      </c>
      <c r="F246" s="243">
        <v>1</v>
      </c>
      <c r="G246" s="261">
        <v>1270</v>
      </c>
      <c r="H246" s="361">
        <v>49096</v>
      </c>
      <c r="I246" s="401" t="s">
        <v>21</v>
      </c>
      <c r="J246" s="395"/>
      <c r="K246" s="395"/>
      <c r="L246" s="395"/>
      <c r="M246" s="395"/>
      <c r="N246" s="395"/>
      <c r="O246" s="395"/>
      <c r="P246" s="395"/>
    </row>
    <row r="247" spans="1:16" ht="15">
      <c r="A247" s="212"/>
      <c r="B247" s="51" t="s">
        <v>629</v>
      </c>
      <c r="C247" s="212" t="s">
        <v>61</v>
      </c>
      <c r="D247" s="261">
        <v>3717</v>
      </c>
      <c r="E247" s="243">
        <v>1</v>
      </c>
      <c r="F247" s="243">
        <v>1</v>
      </c>
      <c r="G247" s="261">
        <v>3717</v>
      </c>
      <c r="H247" s="361">
        <v>69537</v>
      </c>
      <c r="I247" s="227">
        <v>1</v>
      </c>
      <c r="J247" s="263" t="s">
        <v>274</v>
      </c>
      <c r="K247" s="215"/>
      <c r="L247" s="215"/>
      <c r="M247" s="215"/>
      <c r="N247" s="215"/>
      <c r="O247" s="207"/>
      <c r="P247" s="233">
        <f>247587+15000</f>
        <v>262587</v>
      </c>
    </row>
    <row r="248" spans="1:16" ht="12.75">
      <c r="A248" s="212"/>
      <c r="B248" s="51" t="s">
        <v>261</v>
      </c>
      <c r="C248" s="212" t="s">
        <v>61</v>
      </c>
      <c r="D248" s="261">
        <v>99</v>
      </c>
      <c r="E248" s="243">
        <v>1</v>
      </c>
      <c r="F248" s="243">
        <v>1</v>
      </c>
      <c r="G248" s="261">
        <v>99</v>
      </c>
      <c r="H248" s="361">
        <v>2393</v>
      </c>
      <c r="I248" s="227">
        <v>3</v>
      </c>
      <c r="J248" s="226" t="s">
        <v>548</v>
      </c>
      <c r="L248" s="215"/>
      <c r="M248" s="215"/>
      <c r="N248" s="215"/>
      <c r="O248" s="260"/>
      <c r="P248" s="223"/>
    </row>
    <row r="249" spans="1:16" ht="12.75">
      <c r="A249" s="212"/>
      <c r="B249" s="51" t="s">
        <v>262</v>
      </c>
      <c r="C249" s="212" t="s">
        <v>61</v>
      </c>
      <c r="D249" s="261">
        <v>30</v>
      </c>
      <c r="E249" s="243">
        <v>1</v>
      </c>
      <c r="F249" s="243">
        <v>1</v>
      </c>
      <c r="G249" s="261">
        <v>30</v>
      </c>
      <c r="H249" s="361">
        <v>612</v>
      </c>
      <c r="I249" s="227"/>
      <c r="J249" s="51" t="s">
        <v>559</v>
      </c>
      <c r="K249" s="215" t="s">
        <v>324</v>
      </c>
      <c r="L249" s="215">
        <v>500</v>
      </c>
      <c r="M249" s="215">
        <v>1</v>
      </c>
      <c r="N249" s="215">
        <v>0.3</v>
      </c>
      <c r="O249" s="261">
        <f aca="true" t="shared" si="26" ref="O249:O270">L249*M249*N249</f>
        <v>150</v>
      </c>
      <c r="P249" s="219">
        <f aca="true" t="shared" si="27" ref="P249:P272">159054/5568.59*O249</f>
        <v>4284.405926814507</v>
      </c>
    </row>
    <row r="250" spans="1:16" ht="25.5">
      <c r="A250" s="212"/>
      <c r="B250" s="268" t="s">
        <v>338</v>
      </c>
      <c r="C250" s="212" t="s">
        <v>61</v>
      </c>
      <c r="D250" s="261">
        <v>6</v>
      </c>
      <c r="E250" s="243">
        <v>1</v>
      </c>
      <c r="F250" s="243">
        <v>1</v>
      </c>
      <c r="G250" s="261">
        <v>6</v>
      </c>
      <c r="H250" s="361">
        <v>133</v>
      </c>
      <c r="I250" s="227"/>
      <c r="J250" s="51" t="s">
        <v>302</v>
      </c>
      <c r="K250" s="215"/>
      <c r="L250" s="215">
        <v>956</v>
      </c>
      <c r="M250" s="215">
        <v>1</v>
      </c>
      <c r="N250" s="215">
        <v>0.3</v>
      </c>
      <c r="O250" s="261">
        <f t="shared" si="26"/>
        <v>286.8</v>
      </c>
      <c r="P250" s="219">
        <f t="shared" si="27"/>
        <v>8191.784132069339</v>
      </c>
    </row>
    <row r="251" spans="1:16" ht="12.75">
      <c r="A251" s="212"/>
      <c r="B251" s="268" t="s">
        <v>612</v>
      </c>
      <c r="C251" s="212" t="s">
        <v>61</v>
      </c>
      <c r="D251" s="261">
        <v>25</v>
      </c>
      <c r="E251" s="243">
        <v>1</v>
      </c>
      <c r="F251" s="243">
        <v>1</v>
      </c>
      <c r="G251" s="261">
        <v>25</v>
      </c>
      <c r="H251" s="361">
        <v>1216</v>
      </c>
      <c r="I251" s="227"/>
      <c r="J251" s="51" t="s">
        <v>303</v>
      </c>
      <c r="K251" s="215"/>
      <c r="L251" s="215">
        <v>956</v>
      </c>
      <c r="M251" s="215">
        <v>1</v>
      </c>
      <c r="N251" s="215">
        <v>0.2</v>
      </c>
      <c r="O251" s="261">
        <f t="shared" si="26"/>
        <v>191.20000000000002</v>
      </c>
      <c r="P251" s="219">
        <f t="shared" si="27"/>
        <v>5461.1894213795595</v>
      </c>
    </row>
    <row r="252" spans="1:16" ht="12.75">
      <c r="A252" s="212"/>
      <c r="B252" s="51" t="s">
        <v>359</v>
      </c>
      <c r="C252" s="212" t="s">
        <v>61</v>
      </c>
      <c r="D252" s="212">
        <v>1790</v>
      </c>
      <c r="E252" s="243">
        <v>1</v>
      </c>
      <c r="F252" s="243">
        <v>1</v>
      </c>
      <c r="G252" s="261">
        <v>1790</v>
      </c>
      <c r="H252" s="361">
        <v>45367</v>
      </c>
      <c r="I252" s="227"/>
      <c r="J252" s="51" t="s">
        <v>304</v>
      </c>
      <c r="K252" s="215"/>
      <c r="L252" s="215"/>
      <c r="M252" s="215"/>
      <c r="N252" s="215"/>
      <c r="O252" s="261">
        <f t="shared" si="26"/>
        <v>0</v>
      </c>
      <c r="P252" s="219">
        <f t="shared" si="27"/>
        <v>0</v>
      </c>
    </row>
    <row r="253" spans="1:16" ht="12.75">
      <c r="A253" s="212"/>
      <c r="B253" s="51" t="s">
        <v>417</v>
      </c>
      <c r="C253" s="212" t="s">
        <v>61</v>
      </c>
      <c r="D253" s="212">
        <v>330</v>
      </c>
      <c r="E253" s="243">
        <v>1</v>
      </c>
      <c r="F253" s="243">
        <v>1</v>
      </c>
      <c r="G253" s="261">
        <v>330</v>
      </c>
      <c r="H253" s="361">
        <v>8154</v>
      </c>
      <c r="I253" s="262"/>
      <c r="J253" s="47" t="s">
        <v>305</v>
      </c>
      <c r="K253" s="215"/>
      <c r="L253" s="215"/>
      <c r="M253" s="215"/>
      <c r="N253" s="215"/>
      <c r="O253" s="261">
        <f t="shared" si="26"/>
        <v>0</v>
      </c>
      <c r="P253" s="219">
        <f t="shared" si="27"/>
        <v>0</v>
      </c>
    </row>
    <row r="254" spans="1:16" ht="12.75">
      <c r="A254" s="212"/>
      <c r="B254" s="47" t="s">
        <v>599</v>
      </c>
      <c r="C254" s="212"/>
      <c r="D254" s="212"/>
      <c r="E254" s="243"/>
      <c r="F254" s="243"/>
      <c r="G254" s="207">
        <f>SUM(G246:G253)</f>
        <v>7267</v>
      </c>
      <c r="H254" s="368">
        <f>SUM(H246:H253)</f>
        <v>176508</v>
      </c>
      <c r="I254" s="227"/>
      <c r="J254" s="51" t="s">
        <v>306</v>
      </c>
      <c r="K254" s="215" t="s">
        <v>325</v>
      </c>
      <c r="L254" s="215">
        <v>243</v>
      </c>
      <c r="M254" s="215">
        <v>3</v>
      </c>
      <c r="N254" s="215">
        <v>0.1</v>
      </c>
      <c r="O254" s="261">
        <f t="shared" si="26"/>
        <v>72.9</v>
      </c>
      <c r="P254" s="219">
        <f t="shared" si="27"/>
        <v>2082.221280431851</v>
      </c>
    </row>
    <row r="255" spans="1:16" ht="20.25" customHeight="1">
      <c r="A255" s="212"/>
      <c r="B255" s="93" t="s">
        <v>663</v>
      </c>
      <c r="C255" s="212"/>
      <c r="D255" s="212"/>
      <c r="E255" s="243"/>
      <c r="F255" s="243"/>
      <c r="G255" s="332">
        <f>G244+G254</f>
        <v>47282.476160000006</v>
      </c>
      <c r="H255" s="372">
        <f>H244+H254</f>
        <v>637163.0018419075</v>
      </c>
      <c r="I255" s="227"/>
      <c r="J255" s="51" t="s">
        <v>531</v>
      </c>
      <c r="K255" s="215"/>
      <c r="L255" s="215">
        <v>243</v>
      </c>
      <c r="M255" s="215">
        <v>2</v>
      </c>
      <c r="N255" s="215">
        <v>0.2</v>
      </c>
      <c r="O255" s="261">
        <f t="shared" si="26"/>
        <v>97.2</v>
      </c>
      <c r="P255" s="219">
        <f t="shared" si="27"/>
        <v>2776.295040575801</v>
      </c>
    </row>
    <row r="256" spans="1:16" ht="16.5" customHeight="1">
      <c r="A256" s="212">
        <v>26</v>
      </c>
      <c r="B256" s="47" t="s">
        <v>228</v>
      </c>
      <c r="C256" s="208"/>
      <c r="D256" s="205"/>
      <c r="E256" s="205"/>
      <c r="F256" s="205"/>
      <c r="G256" s="207"/>
      <c r="H256" s="364">
        <f>H257+H258</f>
        <v>257700</v>
      </c>
      <c r="I256" s="227"/>
      <c r="J256" s="51" t="s">
        <v>308</v>
      </c>
      <c r="K256" s="215"/>
      <c r="L256" s="215">
        <v>243</v>
      </c>
      <c r="M256" s="215">
        <v>1</v>
      </c>
      <c r="N256" s="215">
        <v>0.1</v>
      </c>
      <c r="O256" s="261">
        <f t="shared" si="26"/>
        <v>24.3</v>
      </c>
      <c r="P256" s="219">
        <f t="shared" si="27"/>
        <v>694.0737601439503</v>
      </c>
    </row>
    <row r="257" spans="1:16" ht="14.25" customHeight="1">
      <c r="A257" s="212"/>
      <c r="B257" s="47" t="s">
        <v>264</v>
      </c>
      <c r="C257" s="208" t="s">
        <v>80</v>
      </c>
      <c r="D257" s="205">
        <v>7</v>
      </c>
      <c r="E257" s="215"/>
      <c r="F257" s="215"/>
      <c r="G257" s="260"/>
      <c r="H257" s="364">
        <v>7700</v>
      </c>
      <c r="I257" s="227"/>
      <c r="J257" s="47" t="s">
        <v>309</v>
      </c>
      <c r="K257" s="215"/>
      <c r="L257" s="215"/>
      <c r="M257" s="215"/>
      <c r="N257" s="215"/>
      <c r="O257" s="261">
        <f t="shared" si="26"/>
        <v>0</v>
      </c>
      <c r="P257" s="219">
        <f t="shared" si="27"/>
        <v>0</v>
      </c>
    </row>
    <row r="258" spans="1:16" ht="14.25" customHeight="1">
      <c r="A258" s="212"/>
      <c r="B258" s="47" t="s">
        <v>657</v>
      </c>
      <c r="C258" s="208" t="s">
        <v>80</v>
      </c>
      <c r="D258" s="205">
        <v>1</v>
      </c>
      <c r="E258" s="215"/>
      <c r="F258" s="215"/>
      <c r="G258" s="260"/>
      <c r="H258" s="364">
        <v>250000</v>
      </c>
      <c r="I258" s="227"/>
      <c r="J258" s="51" t="s">
        <v>310</v>
      </c>
      <c r="K258" s="215" t="s">
        <v>325</v>
      </c>
      <c r="L258" s="215">
        <v>725</v>
      </c>
      <c r="M258" s="215">
        <v>3</v>
      </c>
      <c r="N258" s="215">
        <v>0.15</v>
      </c>
      <c r="O258" s="261">
        <f t="shared" si="26"/>
        <v>326.25</v>
      </c>
      <c r="P258" s="219">
        <f t="shared" si="27"/>
        <v>9318.582890821554</v>
      </c>
    </row>
    <row r="259" spans="1:16" ht="19.5" customHeight="1">
      <c r="A259" s="266"/>
      <c r="B259" s="93" t="s">
        <v>525</v>
      </c>
      <c r="C259" s="266"/>
      <c r="D259" s="266"/>
      <c r="E259" s="231"/>
      <c r="F259" s="231"/>
      <c r="H259" s="374">
        <f>H255+H256</f>
        <v>894863.0018419075</v>
      </c>
      <c r="I259" s="227"/>
      <c r="J259" s="51" t="s">
        <v>532</v>
      </c>
      <c r="K259" s="215"/>
      <c r="L259" s="215">
        <v>725</v>
      </c>
      <c r="M259" s="215">
        <v>2</v>
      </c>
      <c r="N259" s="215">
        <v>0.6</v>
      </c>
      <c r="O259" s="261">
        <f t="shared" si="26"/>
        <v>870</v>
      </c>
      <c r="P259" s="219">
        <f t="shared" si="27"/>
        <v>24849.554375524145</v>
      </c>
    </row>
    <row r="260" spans="1:16" ht="12.75">
      <c r="A260" s="423" t="s">
        <v>222</v>
      </c>
      <c r="B260" s="424"/>
      <c r="C260" s="424"/>
      <c r="D260" s="424"/>
      <c r="E260" s="424"/>
      <c r="F260" s="424"/>
      <c r="G260" s="424"/>
      <c r="H260" s="424"/>
      <c r="I260" s="227"/>
      <c r="J260" s="51" t="s">
        <v>308</v>
      </c>
      <c r="K260" s="215"/>
      <c r="L260" s="215">
        <v>725</v>
      </c>
      <c r="M260" s="215">
        <v>1</v>
      </c>
      <c r="N260" s="215">
        <v>0.1</v>
      </c>
      <c r="O260" s="261">
        <f t="shared" si="26"/>
        <v>72.5</v>
      </c>
      <c r="P260" s="219">
        <f t="shared" si="27"/>
        <v>2070.7961979603456</v>
      </c>
    </row>
    <row r="261" spans="1:16" ht="12.75">
      <c r="A261" s="401" t="s">
        <v>21</v>
      </c>
      <c r="B261" s="395"/>
      <c r="C261" s="395"/>
      <c r="D261" s="395"/>
      <c r="E261" s="395"/>
      <c r="F261" s="395"/>
      <c r="G261" s="395"/>
      <c r="H261" s="395"/>
      <c r="I261" s="227"/>
      <c r="J261" s="47" t="s">
        <v>313</v>
      </c>
      <c r="K261" s="215"/>
      <c r="L261" s="215"/>
      <c r="M261" s="215"/>
      <c r="N261" s="215"/>
      <c r="O261" s="261">
        <f t="shared" si="26"/>
        <v>0</v>
      </c>
      <c r="P261" s="219">
        <f t="shared" si="27"/>
        <v>0</v>
      </c>
    </row>
    <row r="262" spans="1:16" ht="17.25" customHeight="1">
      <c r="A262" s="227">
        <v>1</v>
      </c>
      <c r="B262" s="263" t="s">
        <v>274</v>
      </c>
      <c r="C262" s="215"/>
      <c r="D262" s="215"/>
      <c r="E262" s="215"/>
      <c r="F262" s="215"/>
      <c r="G262" s="207"/>
      <c r="H262" s="372">
        <v>270453</v>
      </c>
      <c r="I262" s="227"/>
      <c r="J262" s="51" t="s">
        <v>314</v>
      </c>
      <c r="K262" s="215" t="s">
        <v>326</v>
      </c>
      <c r="L262" s="215">
        <v>35.4</v>
      </c>
      <c r="M262" s="215">
        <v>1</v>
      </c>
      <c r="N262" s="215">
        <v>2.75</v>
      </c>
      <c r="O262" s="261">
        <f t="shared" si="26"/>
        <v>97.35</v>
      </c>
      <c r="P262" s="219">
        <f t="shared" si="27"/>
        <v>2780.579446502615</v>
      </c>
    </row>
    <row r="263" spans="1:16" ht="12.75">
      <c r="A263" s="227">
        <v>2</v>
      </c>
      <c r="B263" s="226" t="s">
        <v>548</v>
      </c>
      <c r="D263" s="215"/>
      <c r="E263" s="215"/>
      <c r="F263" s="215"/>
      <c r="G263" s="260"/>
      <c r="H263" s="361"/>
      <c r="I263" s="227"/>
      <c r="J263" s="51" t="s">
        <v>315</v>
      </c>
      <c r="K263" s="215"/>
      <c r="L263" s="215"/>
      <c r="M263" s="215"/>
      <c r="N263" s="215"/>
      <c r="O263" s="261">
        <f t="shared" si="26"/>
        <v>0</v>
      </c>
      <c r="P263" s="219">
        <f t="shared" si="27"/>
        <v>0</v>
      </c>
    </row>
    <row r="264" spans="1:16" ht="12.75">
      <c r="A264" s="227"/>
      <c r="B264" s="51" t="s">
        <v>559</v>
      </c>
      <c r="C264" s="215" t="s">
        <v>324</v>
      </c>
      <c r="D264" s="215">
        <v>300</v>
      </c>
      <c r="E264" s="215">
        <v>1</v>
      </c>
      <c r="F264" s="215">
        <v>0.3</v>
      </c>
      <c r="G264" s="260">
        <f aca="true" t="shared" si="28" ref="G264:G285">D264*E264*F264</f>
        <v>90</v>
      </c>
      <c r="H264" s="361">
        <f>76778/5204.638*G264</f>
        <v>1327.6658242129424</v>
      </c>
      <c r="I264" s="227"/>
      <c r="J264" s="47" t="s">
        <v>316</v>
      </c>
      <c r="K264" s="215"/>
      <c r="L264" s="215"/>
      <c r="M264" s="215"/>
      <c r="N264" s="215"/>
      <c r="O264" s="261">
        <f t="shared" si="26"/>
        <v>0</v>
      </c>
      <c r="P264" s="219">
        <f t="shared" si="27"/>
        <v>0</v>
      </c>
    </row>
    <row r="265" spans="1:16" ht="12.75">
      <c r="A265" s="227"/>
      <c r="B265" s="51" t="s">
        <v>302</v>
      </c>
      <c r="C265" s="215"/>
      <c r="D265" s="215">
        <v>956</v>
      </c>
      <c r="E265" s="215">
        <v>1</v>
      </c>
      <c r="F265" s="215">
        <v>0.3</v>
      </c>
      <c r="G265" s="260">
        <f t="shared" si="28"/>
        <v>286.8</v>
      </c>
      <c r="H265" s="361">
        <f aca="true" t="shared" si="29" ref="H265:H286">76778/5204.638*G265</f>
        <v>4230.82842649191</v>
      </c>
      <c r="I265" s="227"/>
      <c r="J265" s="51" t="s">
        <v>314</v>
      </c>
      <c r="K265" s="215" t="s">
        <v>327</v>
      </c>
      <c r="L265" s="215">
        <v>31</v>
      </c>
      <c r="M265" s="215">
        <v>12</v>
      </c>
      <c r="N265" s="215">
        <v>0.49</v>
      </c>
      <c r="O265" s="261">
        <f t="shared" si="26"/>
        <v>182.28</v>
      </c>
      <c r="P265" s="219">
        <f t="shared" si="27"/>
        <v>5206.41008226499</v>
      </c>
    </row>
    <row r="266" spans="1:16" ht="12.75">
      <c r="A266" s="227"/>
      <c r="B266" s="51" t="s">
        <v>303</v>
      </c>
      <c r="C266" s="215"/>
      <c r="D266" s="215">
        <v>956</v>
      </c>
      <c r="E266" s="215">
        <v>1</v>
      </c>
      <c r="F266" s="215">
        <v>0.2</v>
      </c>
      <c r="G266" s="260">
        <f t="shared" si="28"/>
        <v>191.20000000000002</v>
      </c>
      <c r="H266" s="361">
        <f t="shared" si="29"/>
        <v>2820.55228432794</v>
      </c>
      <c r="I266" s="227"/>
      <c r="J266" s="51" t="s">
        <v>317</v>
      </c>
      <c r="K266" s="215"/>
      <c r="L266" s="215"/>
      <c r="M266" s="215"/>
      <c r="N266" s="215"/>
      <c r="O266" s="261">
        <f t="shared" si="26"/>
        <v>0</v>
      </c>
      <c r="P266" s="219">
        <f t="shared" si="27"/>
        <v>0</v>
      </c>
    </row>
    <row r="267" spans="1:16" ht="12.75">
      <c r="A267" s="227"/>
      <c r="B267" s="51" t="s">
        <v>304</v>
      </c>
      <c r="C267" s="215"/>
      <c r="D267" s="215"/>
      <c r="E267" s="215"/>
      <c r="F267" s="215"/>
      <c r="G267" s="260">
        <f t="shared" si="28"/>
        <v>0</v>
      </c>
      <c r="H267" s="361">
        <f t="shared" si="29"/>
        <v>0</v>
      </c>
      <c r="I267" s="227"/>
      <c r="J267" s="51" t="s">
        <v>533</v>
      </c>
      <c r="K267" s="215"/>
      <c r="L267" s="215"/>
      <c r="M267" s="215"/>
      <c r="N267" s="215"/>
      <c r="O267" s="261">
        <f t="shared" si="26"/>
        <v>0</v>
      </c>
      <c r="P267" s="219">
        <f t="shared" si="27"/>
        <v>0</v>
      </c>
    </row>
    <row r="268" spans="1:16" ht="12.75">
      <c r="A268" s="262"/>
      <c r="B268" s="47" t="s">
        <v>305</v>
      </c>
      <c r="C268" s="215"/>
      <c r="D268" s="215"/>
      <c r="E268" s="215"/>
      <c r="F268" s="215"/>
      <c r="G268" s="260">
        <f t="shared" si="28"/>
        <v>0</v>
      </c>
      <c r="H268" s="361">
        <f t="shared" si="29"/>
        <v>0</v>
      </c>
      <c r="I268" s="227"/>
      <c r="J268" s="47" t="s">
        <v>320</v>
      </c>
      <c r="K268" s="215" t="s">
        <v>328</v>
      </c>
      <c r="L268" s="215">
        <v>31</v>
      </c>
      <c r="M268" s="215">
        <v>12</v>
      </c>
      <c r="N268" s="215">
        <v>0.42</v>
      </c>
      <c r="O268" s="261">
        <f t="shared" si="26"/>
        <v>156.23999999999998</v>
      </c>
      <c r="P268" s="219">
        <f t="shared" si="27"/>
        <v>4462.637213369991</v>
      </c>
    </row>
    <row r="269" spans="1:16" ht="12.75">
      <c r="A269" s="227"/>
      <c r="B269" s="51" t="s">
        <v>306</v>
      </c>
      <c r="C269" s="215" t="s">
        <v>325</v>
      </c>
      <c r="D269" s="215">
        <v>229</v>
      </c>
      <c r="E269" s="215">
        <v>4</v>
      </c>
      <c r="F269" s="215">
        <v>0.1</v>
      </c>
      <c r="G269" s="260">
        <f t="shared" si="28"/>
        <v>91.60000000000001</v>
      </c>
      <c r="H269" s="361">
        <f t="shared" si="29"/>
        <v>1351.2687721989505</v>
      </c>
      <c r="I269" s="227"/>
      <c r="J269" s="51" t="s">
        <v>534</v>
      </c>
      <c r="K269" s="215"/>
      <c r="L269" s="215"/>
      <c r="M269" s="215"/>
      <c r="N269" s="215"/>
      <c r="O269" s="261">
        <f t="shared" si="26"/>
        <v>0</v>
      </c>
      <c r="P269" s="219">
        <f t="shared" si="27"/>
        <v>0</v>
      </c>
    </row>
    <row r="270" spans="1:16" ht="12.75">
      <c r="A270" s="227"/>
      <c r="B270" s="51" t="s">
        <v>531</v>
      </c>
      <c r="C270" s="215"/>
      <c r="D270" s="215">
        <v>229</v>
      </c>
      <c r="E270" s="215">
        <v>2</v>
      </c>
      <c r="F270" s="215">
        <v>0.2</v>
      </c>
      <c r="G270" s="260">
        <f t="shared" si="28"/>
        <v>91.60000000000001</v>
      </c>
      <c r="H270" s="361">
        <f t="shared" si="29"/>
        <v>1351.2687721989505</v>
      </c>
      <c r="I270" s="227"/>
      <c r="J270" s="47" t="s">
        <v>321</v>
      </c>
      <c r="K270" s="215" t="s">
        <v>329</v>
      </c>
      <c r="L270" s="215">
        <v>35.4</v>
      </c>
      <c r="M270" s="215">
        <v>96</v>
      </c>
      <c r="N270" s="215">
        <v>0.27</v>
      </c>
      <c r="O270" s="261">
        <f t="shared" si="26"/>
        <v>917.568</v>
      </c>
      <c r="P270" s="219">
        <f t="shared" si="27"/>
        <v>26208.22518303556</v>
      </c>
    </row>
    <row r="271" spans="1:16" ht="12.75">
      <c r="A271" s="227"/>
      <c r="B271" s="51" t="s">
        <v>308</v>
      </c>
      <c r="C271" s="215"/>
      <c r="D271" s="215">
        <v>229</v>
      </c>
      <c r="E271" s="215">
        <v>1</v>
      </c>
      <c r="F271" s="215">
        <v>0.1</v>
      </c>
      <c r="G271" s="260">
        <f t="shared" si="28"/>
        <v>22.900000000000002</v>
      </c>
      <c r="H271" s="361">
        <f t="shared" si="29"/>
        <v>337.8171930497376</v>
      </c>
      <c r="I271" s="227"/>
      <c r="J271" s="47" t="s">
        <v>322</v>
      </c>
      <c r="K271" s="51"/>
      <c r="L271" s="51"/>
      <c r="M271" s="51"/>
      <c r="N271" s="51"/>
      <c r="O271" s="51"/>
      <c r="P271" s="219">
        <f t="shared" si="27"/>
        <v>0</v>
      </c>
    </row>
    <row r="272" spans="1:16" ht="12.75">
      <c r="A272" s="227"/>
      <c r="B272" s="47" t="s">
        <v>309</v>
      </c>
      <c r="C272" s="215"/>
      <c r="D272" s="215"/>
      <c r="E272" s="215"/>
      <c r="F272" s="215"/>
      <c r="G272" s="260">
        <f t="shared" si="28"/>
        <v>0</v>
      </c>
      <c r="H272" s="361">
        <f t="shared" si="29"/>
        <v>0</v>
      </c>
      <c r="I272" s="227"/>
      <c r="J272" s="47" t="s">
        <v>153</v>
      </c>
      <c r="K272" s="215" t="s">
        <v>61</v>
      </c>
      <c r="L272" s="215">
        <f>2*8</f>
        <v>16</v>
      </c>
      <c r="M272" s="215">
        <v>8</v>
      </c>
      <c r="N272" s="215">
        <v>1</v>
      </c>
      <c r="O272" s="260">
        <f>L272*M272</f>
        <v>128</v>
      </c>
      <c r="P272" s="219">
        <f t="shared" si="27"/>
        <v>3656.0263908817133</v>
      </c>
    </row>
    <row r="273" spans="1:16" ht="15">
      <c r="A273" s="227"/>
      <c r="B273" s="51" t="s">
        <v>310</v>
      </c>
      <c r="C273" s="215" t="s">
        <v>325</v>
      </c>
      <c r="D273" s="215">
        <v>739</v>
      </c>
      <c r="E273" s="215">
        <v>4</v>
      </c>
      <c r="F273" s="215">
        <v>0.15</v>
      </c>
      <c r="G273" s="260">
        <f t="shared" si="28"/>
        <v>443.4</v>
      </c>
      <c r="H273" s="361">
        <f t="shared" si="29"/>
        <v>6540.96696062243</v>
      </c>
      <c r="I273" s="227"/>
      <c r="J273" s="47" t="s">
        <v>420</v>
      </c>
      <c r="K273" s="215"/>
      <c r="L273" s="215"/>
      <c r="M273" s="215"/>
      <c r="N273" s="215"/>
      <c r="O273" s="259">
        <f>SUM(O249:O272)</f>
        <v>3572.5879999999997</v>
      </c>
      <c r="P273" s="206">
        <f>SUM(P249:P272)</f>
        <v>102042.78134177593</v>
      </c>
    </row>
    <row r="274" spans="1:16" ht="12.75">
      <c r="A274" s="227"/>
      <c r="B274" s="51" t="s">
        <v>532</v>
      </c>
      <c r="C274" s="215"/>
      <c r="D274" s="215">
        <v>739</v>
      </c>
      <c r="E274" s="215">
        <v>2</v>
      </c>
      <c r="F274" s="215">
        <v>0.6</v>
      </c>
      <c r="G274" s="260">
        <f t="shared" si="28"/>
        <v>886.8</v>
      </c>
      <c r="H274" s="361">
        <f t="shared" si="29"/>
        <v>13081.93392124486</v>
      </c>
      <c r="I274" s="227">
        <v>3</v>
      </c>
      <c r="J274" s="208" t="s">
        <v>507</v>
      </c>
      <c r="K274" s="215"/>
      <c r="L274" s="215"/>
      <c r="M274" s="215"/>
      <c r="N274" s="215"/>
      <c r="O274" s="260"/>
      <c r="P274" s="218"/>
    </row>
    <row r="275" spans="1:16" ht="12.75">
      <c r="A275" s="227"/>
      <c r="B275" s="51" t="s">
        <v>308</v>
      </c>
      <c r="C275" s="215"/>
      <c r="D275" s="215">
        <v>739</v>
      </c>
      <c r="E275" s="215">
        <v>1</v>
      </c>
      <c r="F275" s="215">
        <v>0.1</v>
      </c>
      <c r="G275" s="260">
        <f t="shared" si="28"/>
        <v>73.9</v>
      </c>
      <c r="H275" s="361">
        <f t="shared" si="29"/>
        <v>1090.1611601037384</v>
      </c>
      <c r="I275" s="227"/>
      <c r="J275" s="256" t="s">
        <v>454</v>
      </c>
      <c r="K275" s="215" t="s">
        <v>476</v>
      </c>
      <c r="L275" s="215">
        <f>1996-64-30-24</f>
        <v>1878</v>
      </c>
      <c r="M275" s="215">
        <v>1</v>
      </c>
      <c r="N275" s="215">
        <v>1</v>
      </c>
      <c r="O275" s="215">
        <f>1996-24</f>
        <v>1972</v>
      </c>
      <c r="P275" s="219">
        <f>159054/5568.59*O275</f>
        <v>56325.65658452139</v>
      </c>
    </row>
    <row r="276" spans="1:16" ht="12.75">
      <c r="A276" s="227"/>
      <c r="B276" s="47" t="s">
        <v>313</v>
      </c>
      <c r="C276" s="215"/>
      <c r="D276" s="215"/>
      <c r="E276" s="215"/>
      <c r="F276" s="215"/>
      <c r="G276" s="260">
        <f t="shared" si="28"/>
        <v>0</v>
      </c>
      <c r="H276" s="361">
        <f t="shared" si="29"/>
        <v>0</v>
      </c>
      <c r="I276" s="227"/>
      <c r="J276" s="51" t="s">
        <v>463</v>
      </c>
      <c r="K276" s="215" t="s">
        <v>476</v>
      </c>
      <c r="L276" s="260">
        <f>3*8</f>
        <v>24</v>
      </c>
      <c r="M276" s="215">
        <v>1</v>
      </c>
      <c r="N276" s="215">
        <v>1</v>
      </c>
      <c r="O276" s="260">
        <f>3*8</f>
        <v>24</v>
      </c>
      <c r="P276" s="219">
        <f>159054/5568.59*O276</f>
        <v>685.5049482903212</v>
      </c>
    </row>
    <row r="277" spans="1:16" ht="12.75">
      <c r="A277" s="227"/>
      <c r="B277" s="51" t="s">
        <v>314</v>
      </c>
      <c r="C277" s="215" t="s">
        <v>326</v>
      </c>
      <c r="D277" s="215">
        <v>35.4</v>
      </c>
      <c r="E277" s="215">
        <v>1</v>
      </c>
      <c r="F277" s="215">
        <v>2.75</v>
      </c>
      <c r="G277" s="260">
        <f t="shared" si="28"/>
        <v>97.35</v>
      </c>
      <c r="H277" s="361">
        <f t="shared" si="29"/>
        <v>1436.0918665236659</v>
      </c>
      <c r="I277" s="227"/>
      <c r="J277" s="47" t="s">
        <v>413</v>
      </c>
      <c r="K277" s="215"/>
      <c r="L277" s="260"/>
      <c r="M277" s="215"/>
      <c r="N277" s="215"/>
      <c r="O277" s="207">
        <f>SUM(O275:O276)</f>
        <v>1996</v>
      </c>
      <c r="P277" s="218">
        <f>SUM(P275:P276)</f>
        <v>57011.16153281171</v>
      </c>
    </row>
    <row r="278" spans="1:16" ht="15">
      <c r="A278" s="227"/>
      <c r="B278" s="51" t="s">
        <v>607</v>
      </c>
      <c r="C278" s="215"/>
      <c r="D278" s="215"/>
      <c r="E278" s="215"/>
      <c r="F278" s="215"/>
      <c r="G278" s="260">
        <f t="shared" si="28"/>
        <v>0</v>
      </c>
      <c r="H278" s="361">
        <f t="shared" si="29"/>
        <v>0</v>
      </c>
      <c r="I278" s="227"/>
      <c r="J278" s="93" t="s">
        <v>526</v>
      </c>
      <c r="K278" s="215"/>
      <c r="L278" s="260"/>
      <c r="M278" s="215"/>
      <c r="N278" s="215"/>
      <c r="O278" s="259">
        <f>O273+O277</f>
        <v>5568.588</v>
      </c>
      <c r="P278" s="206">
        <f>P273+P277</f>
        <v>159053.94287458764</v>
      </c>
    </row>
    <row r="279" spans="1:16" ht="12.75">
      <c r="A279" s="227"/>
      <c r="B279" s="47" t="s">
        <v>316</v>
      </c>
      <c r="C279" s="215"/>
      <c r="D279" s="215"/>
      <c r="E279" s="215"/>
      <c r="F279" s="215"/>
      <c r="G279" s="260">
        <f t="shared" si="28"/>
        <v>0</v>
      </c>
      <c r="H279" s="361">
        <f t="shared" si="29"/>
        <v>0</v>
      </c>
      <c r="I279" s="227">
        <v>4</v>
      </c>
      <c r="J279" s="93" t="s">
        <v>522</v>
      </c>
      <c r="K279" s="247"/>
      <c r="L279" s="247"/>
      <c r="M279" s="231"/>
      <c r="N279" s="231"/>
      <c r="O279" s="230">
        <f>3000+12</f>
        <v>3012</v>
      </c>
      <c r="P279" s="245">
        <v>117238</v>
      </c>
    </row>
    <row r="280" spans="1:16" ht="15">
      <c r="A280" s="227"/>
      <c r="B280" s="51" t="s">
        <v>314</v>
      </c>
      <c r="C280" s="215" t="s">
        <v>327</v>
      </c>
      <c r="D280" s="215">
        <v>31</v>
      </c>
      <c r="E280" s="215">
        <v>12</v>
      </c>
      <c r="F280" s="215">
        <v>0.49</v>
      </c>
      <c r="G280" s="260">
        <f t="shared" si="28"/>
        <v>182.28</v>
      </c>
      <c r="H280" s="361">
        <f t="shared" si="29"/>
        <v>2688.965849305946</v>
      </c>
      <c r="I280" s="227">
        <v>5</v>
      </c>
      <c r="J280" s="2" t="s">
        <v>502</v>
      </c>
      <c r="K280" s="258"/>
      <c r="L280" s="257"/>
      <c r="M280" s="258"/>
      <c r="N280" s="258"/>
      <c r="O280" s="257"/>
      <c r="P280" s="213">
        <v>96000</v>
      </c>
    </row>
    <row r="281" spans="1:16" ht="12.75">
      <c r="A281" s="227"/>
      <c r="B281" s="51" t="s">
        <v>317</v>
      </c>
      <c r="C281" s="215"/>
      <c r="D281" s="215"/>
      <c r="E281" s="215"/>
      <c r="F281" s="215"/>
      <c r="G281" s="260">
        <f t="shared" si="28"/>
        <v>0</v>
      </c>
      <c r="H281" s="361">
        <f t="shared" si="29"/>
        <v>0</v>
      </c>
      <c r="I281" s="227">
        <v>6</v>
      </c>
      <c r="J281" s="256" t="s">
        <v>547</v>
      </c>
      <c r="K281" s="215"/>
      <c r="L281" s="205"/>
      <c r="M281" s="215"/>
      <c r="N281" s="215"/>
      <c r="O281" s="51"/>
      <c r="P281" s="255">
        <f>7604.68+5000+1350</f>
        <v>13954.68</v>
      </c>
    </row>
    <row r="282" spans="1:16" ht="15">
      <c r="A282" s="227"/>
      <c r="B282" s="51" t="s">
        <v>533</v>
      </c>
      <c r="C282" s="215"/>
      <c r="D282" s="215"/>
      <c r="E282" s="215"/>
      <c r="F282" s="215"/>
      <c r="G282" s="260">
        <f t="shared" si="28"/>
        <v>0</v>
      </c>
      <c r="H282" s="361">
        <f t="shared" si="29"/>
        <v>0</v>
      </c>
      <c r="I282" s="227"/>
      <c r="J282" s="86" t="s">
        <v>219</v>
      </c>
      <c r="K282" s="247"/>
      <c r="L282" s="247"/>
      <c r="M282" s="231"/>
      <c r="N282" s="231"/>
      <c r="O282" s="245"/>
      <c r="P282" s="254">
        <f>P247+P278+P279+P280+P281</f>
        <v>648833.6228745877</v>
      </c>
    </row>
    <row r="283" spans="1:16" ht="12.75" customHeight="1">
      <c r="A283" s="227"/>
      <c r="B283" s="47" t="s">
        <v>320</v>
      </c>
      <c r="C283" s="215" t="s">
        <v>328</v>
      </c>
      <c r="D283" s="215">
        <v>31</v>
      </c>
      <c r="E283" s="215">
        <v>12</v>
      </c>
      <c r="F283" s="215">
        <v>0.42</v>
      </c>
      <c r="G283" s="260">
        <f t="shared" si="28"/>
        <v>156.23999999999998</v>
      </c>
      <c r="H283" s="361">
        <f t="shared" si="29"/>
        <v>2304.827870833668</v>
      </c>
      <c r="I283" s="423" t="s">
        <v>123</v>
      </c>
      <c r="J283" s="424"/>
      <c r="K283" s="424"/>
      <c r="L283" s="424"/>
      <c r="M283" s="424"/>
      <c r="N283" s="424"/>
      <c r="O283" s="424"/>
      <c r="P283" s="424"/>
    </row>
    <row r="284" spans="1:16" ht="12.75" customHeight="1">
      <c r="A284" s="227"/>
      <c r="B284" s="51" t="s">
        <v>534</v>
      </c>
      <c r="C284" s="215"/>
      <c r="D284" s="215"/>
      <c r="E284" s="215"/>
      <c r="F284" s="215"/>
      <c r="G284" s="260">
        <f t="shared" si="28"/>
        <v>0</v>
      </c>
      <c r="H284" s="361">
        <f t="shared" si="29"/>
        <v>0</v>
      </c>
      <c r="I284" s="401" t="s">
        <v>23</v>
      </c>
      <c r="J284" s="395"/>
      <c r="K284" s="395"/>
      <c r="L284" s="395"/>
      <c r="M284" s="395"/>
      <c r="N284" s="395"/>
      <c r="O284" s="395"/>
      <c r="P284" s="395"/>
    </row>
    <row r="285" spans="1:16" ht="12.75">
      <c r="A285" s="227"/>
      <c r="B285" s="51" t="s">
        <v>600</v>
      </c>
      <c r="C285" s="215" t="s">
        <v>329</v>
      </c>
      <c r="D285" s="215">
        <v>35.4</v>
      </c>
      <c r="E285" s="215">
        <v>96</v>
      </c>
      <c r="F285" s="215">
        <v>0.27</v>
      </c>
      <c r="G285" s="260">
        <f t="shared" si="28"/>
        <v>917.568</v>
      </c>
      <c r="H285" s="361">
        <f t="shared" si="29"/>
        <v>13535.81861101579</v>
      </c>
      <c r="I285" s="253">
        <v>2</v>
      </c>
      <c r="J285" s="253" t="s">
        <v>561</v>
      </c>
      <c r="K285" s="205"/>
      <c r="L285" s="205"/>
      <c r="M285" s="205"/>
      <c r="N285" s="205"/>
      <c r="O285" s="205"/>
      <c r="P285" s="205"/>
    </row>
    <row r="286" spans="1:16" ht="13.5" customHeight="1">
      <c r="A286" s="227"/>
      <c r="B286" s="51" t="s">
        <v>153</v>
      </c>
      <c r="C286" s="215" t="s">
        <v>61</v>
      </c>
      <c r="D286" s="215">
        <v>64</v>
      </c>
      <c r="E286" s="215">
        <v>1</v>
      </c>
      <c r="F286" s="215">
        <v>1</v>
      </c>
      <c r="G286" s="260">
        <f>D286*E286</f>
        <v>64</v>
      </c>
      <c r="H286" s="361">
        <f t="shared" si="29"/>
        <v>944.1179194403146</v>
      </c>
      <c r="I286" s="215">
        <v>1</v>
      </c>
      <c r="J286" s="251" t="s">
        <v>155</v>
      </c>
      <c r="K286" s="215" t="s">
        <v>73</v>
      </c>
      <c r="L286" s="215">
        <v>29</v>
      </c>
      <c r="M286" s="215"/>
      <c r="N286" s="215"/>
      <c r="O286" s="215"/>
      <c r="P286" s="223"/>
    </row>
    <row r="287" spans="1:16" ht="15">
      <c r="A287" s="227"/>
      <c r="B287" s="47" t="s">
        <v>599</v>
      </c>
      <c r="C287" s="215"/>
      <c r="D287" s="215"/>
      <c r="E287" s="215"/>
      <c r="F287" s="215"/>
      <c r="G287" s="332">
        <f>SUM(G264:G286)</f>
        <v>3595.638</v>
      </c>
      <c r="H287" s="372">
        <f>SUM(H264:H286)</f>
        <v>53042.28543157085</v>
      </c>
      <c r="I287" s="215">
        <v>2</v>
      </c>
      <c r="J287" s="251" t="s">
        <v>156</v>
      </c>
      <c r="K287" s="215" t="s">
        <v>73</v>
      </c>
      <c r="L287" s="223">
        <v>29</v>
      </c>
      <c r="M287" s="215"/>
      <c r="N287" s="215"/>
      <c r="O287" s="215"/>
      <c r="P287" s="223"/>
    </row>
    <row r="288" spans="1:16" ht="12.75">
      <c r="A288" s="227">
        <v>3</v>
      </c>
      <c r="B288" s="208" t="s">
        <v>507</v>
      </c>
      <c r="C288" s="215"/>
      <c r="D288" s="215"/>
      <c r="E288" s="215"/>
      <c r="F288" s="215"/>
      <c r="G288" s="260"/>
      <c r="H288" s="368"/>
      <c r="I288" s="215">
        <v>3</v>
      </c>
      <c r="J288" s="251" t="s">
        <v>157</v>
      </c>
      <c r="K288" s="215" t="s">
        <v>80</v>
      </c>
      <c r="L288" s="223">
        <v>6</v>
      </c>
      <c r="M288" s="215"/>
      <c r="N288" s="215"/>
      <c r="O288" s="215"/>
      <c r="P288" s="223"/>
    </row>
    <row r="289" spans="1:16" ht="12.75">
      <c r="A289" s="227"/>
      <c r="B289" s="256" t="s">
        <v>454</v>
      </c>
      <c r="C289" s="215" t="s">
        <v>476</v>
      </c>
      <c r="D289" s="215">
        <f>2001-212-180-48</f>
        <v>1561</v>
      </c>
      <c r="E289" s="215">
        <v>1</v>
      </c>
      <c r="F289" s="215">
        <v>1</v>
      </c>
      <c r="G289" s="215">
        <f>2001-212-180-48</f>
        <v>1561</v>
      </c>
      <c r="H289" s="361">
        <f>76778/5204.638*G289</f>
        <v>23027.626128848922</v>
      </c>
      <c r="I289" s="215">
        <v>4</v>
      </c>
      <c r="J289" s="251" t="s">
        <v>158</v>
      </c>
      <c r="K289" s="215" t="s">
        <v>73</v>
      </c>
      <c r="L289" s="223">
        <v>313.68</v>
      </c>
      <c r="M289" s="215"/>
      <c r="N289" s="215"/>
      <c r="O289" s="215"/>
      <c r="P289" s="223"/>
    </row>
    <row r="290" spans="1:16" ht="12.75">
      <c r="A290" s="227"/>
      <c r="B290" s="51" t="s">
        <v>463</v>
      </c>
      <c r="C290" s="215" t="s">
        <v>476</v>
      </c>
      <c r="D290" s="260">
        <f>2*8*3</f>
        <v>48</v>
      </c>
      <c r="E290" s="215">
        <v>1</v>
      </c>
      <c r="F290" s="215">
        <v>1</v>
      </c>
      <c r="G290" s="260">
        <f>2*8*3</f>
        <v>48</v>
      </c>
      <c r="H290" s="361">
        <f>76778/5204.638*G290</f>
        <v>708.0884395802359</v>
      </c>
      <c r="I290" s="215">
        <v>5</v>
      </c>
      <c r="J290" s="251" t="s">
        <v>159</v>
      </c>
      <c r="K290" s="215" t="s">
        <v>73</v>
      </c>
      <c r="L290" s="223">
        <v>279.56</v>
      </c>
      <c r="M290" s="215"/>
      <c r="N290" s="215"/>
      <c r="O290" s="215"/>
      <c r="P290" s="223"/>
    </row>
    <row r="291" spans="1:16" ht="12.75">
      <c r="A291" s="227"/>
      <c r="B291" s="47" t="s">
        <v>413</v>
      </c>
      <c r="C291" s="215"/>
      <c r="D291" s="260"/>
      <c r="E291" s="215"/>
      <c r="F291" s="215"/>
      <c r="G291" s="207">
        <f>SUM(G289:G290)</f>
        <v>1609</v>
      </c>
      <c r="H291" s="368">
        <f>SUM(H289:H290)</f>
        <v>23735.714568429157</v>
      </c>
      <c r="I291" s="215">
        <v>6</v>
      </c>
      <c r="J291" s="251" t="s">
        <v>160</v>
      </c>
      <c r="K291" s="215" t="s">
        <v>73</v>
      </c>
      <c r="L291" s="223">
        <v>79</v>
      </c>
      <c r="M291" s="215"/>
      <c r="N291" s="215"/>
      <c r="O291" s="215"/>
      <c r="P291" s="223"/>
    </row>
    <row r="292" spans="1:16" ht="18" customHeight="1">
      <c r="A292" s="341"/>
      <c r="B292" s="2" t="s">
        <v>664</v>
      </c>
      <c r="C292" s="258"/>
      <c r="D292" s="257"/>
      <c r="E292" s="258"/>
      <c r="F292" s="258"/>
      <c r="G292" s="332">
        <f>G287+G291</f>
        <v>5204.638</v>
      </c>
      <c r="H292" s="372">
        <f>H287+H291+H262</f>
        <v>347231</v>
      </c>
      <c r="I292" s="215">
        <v>7</v>
      </c>
      <c r="J292" s="251" t="s">
        <v>161</v>
      </c>
      <c r="K292" s="215" t="s">
        <v>162</v>
      </c>
      <c r="L292" s="223">
        <v>200</v>
      </c>
      <c r="M292" s="215"/>
      <c r="N292" s="215"/>
      <c r="O292" s="215"/>
      <c r="P292" s="223"/>
    </row>
    <row r="293" spans="1:16" ht="14.25" customHeight="1">
      <c r="A293" s="227"/>
      <c r="B293" s="266" t="s">
        <v>601</v>
      </c>
      <c r="C293" s="215" t="s">
        <v>61</v>
      </c>
      <c r="D293" s="215">
        <v>4725</v>
      </c>
      <c r="E293" s="215">
        <v>1</v>
      </c>
      <c r="F293" s="215">
        <v>1</v>
      </c>
      <c r="G293" s="260">
        <f>D293*E293</f>
        <v>4725</v>
      </c>
      <c r="H293" s="361">
        <f>126609+34137+12552+22000</f>
        <v>195298</v>
      </c>
      <c r="I293" s="215">
        <v>8</v>
      </c>
      <c r="J293" s="251" t="s">
        <v>163</v>
      </c>
      <c r="K293" s="215" t="s">
        <v>73</v>
      </c>
      <c r="L293" s="223">
        <v>21.36</v>
      </c>
      <c r="M293" s="215"/>
      <c r="N293" s="215"/>
      <c r="O293" s="215"/>
      <c r="P293" s="223"/>
    </row>
    <row r="294" spans="1:16" ht="15">
      <c r="A294" s="227"/>
      <c r="B294" s="93" t="s">
        <v>526</v>
      </c>
      <c r="C294" s="215"/>
      <c r="D294" s="260"/>
      <c r="E294" s="215"/>
      <c r="F294" s="215"/>
      <c r="G294" s="332">
        <f>G287+G291</f>
        <v>5204.638</v>
      </c>
      <c r="H294" s="372">
        <f>H292+H293</f>
        <v>542529</v>
      </c>
      <c r="I294" s="215">
        <v>9</v>
      </c>
      <c r="J294" s="251" t="s">
        <v>164</v>
      </c>
      <c r="K294" s="215"/>
      <c r="L294" s="223"/>
      <c r="M294" s="215"/>
      <c r="N294" s="215"/>
      <c r="O294" s="215"/>
      <c r="P294" s="223"/>
    </row>
    <row r="295" spans="1:16" ht="12.75">
      <c r="A295" s="227">
        <v>4</v>
      </c>
      <c r="B295" s="256" t="s">
        <v>547</v>
      </c>
      <c r="C295" s="215"/>
      <c r="D295" s="205"/>
      <c r="E295" s="215"/>
      <c r="F295" s="215"/>
      <c r="G295" s="51"/>
      <c r="H295" s="364">
        <f>5000+1500</f>
        <v>6500</v>
      </c>
      <c r="I295" s="215">
        <v>10</v>
      </c>
      <c r="J295" s="251" t="s">
        <v>165</v>
      </c>
      <c r="K295" s="215"/>
      <c r="L295" s="223"/>
      <c r="M295" s="215"/>
      <c r="N295" s="215"/>
      <c r="O295" s="215"/>
      <c r="P295" s="223"/>
    </row>
    <row r="296" spans="1:16" ht="15">
      <c r="A296" s="227">
        <v>5</v>
      </c>
      <c r="B296" s="2" t="s">
        <v>502</v>
      </c>
      <c r="C296" s="258"/>
      <c r="D296" s="257"/>
      <c r="E296" s="258"/>
      <c r="F296" s="258"/>
      <c r="G296" s="257"/>
      <c r="H296" s="372">
        <v>96000</v>
      </c>
      <c r="I296" s="215">
        <v>11</v>
      </c>
      <c r="J296" s="251" t="s">
        <v>166</v>
      </c>
      <c r="K296" s="215"/>
      <c r="L296" s="223"/>
      <c r="M296" s="215"/>
      <c r="N296" s="215"/>
      <c r="O296" s="215"/>
      <c r="P296" s="223"/>
    </row>
    <row r="297" spans="1:16" ht="15">
      <c r="A297" s="227"/>
      <c r="B297" s="86" t="s">
        <v>219</v>
      </c>
      <c r="C297" s="247"/>
      <c r="D297" s="247"/>
      <c r="E297" s="231"/>
      <c r="F297" s="231"/>
      <c r="G297" s="245"/>
      <c r="H297" s="369">
        <f>H294+H295+H296</f>
        <v>645029</v>
      </c>
      <c r="I297" s="247"/>
      <c r="J297" s="248" t="s">
        <v>413</v>
      </c>
      <c r="K297" s="247"/>
      <c r="L297" s="246"/>
      <c r="M297" s="210"/>
      <c r="N297" s="231"/>
      <c r="O297" s="252">
        <f>2*1996</f>
        <v>3992</v>
      </c>
      <c r="P297" s="252">
        <f>92741-38266.38</f>
        <v>54474.62</v>
      </c>
    </row>
    <row r="298" spans="1:16" ht="12.75">
      <c r="A298" s="421" t="s">
        <v>123</v>
      </c>
      <c r="B298" s="422"/>
      <c r="C298" s="422"/>
      <c r="D298" s="422"/>
      <c r="E298" s="422"/>
      <c r="F298" s="422"/>
      <c r="G298" s="422"/>
      <c r="H298" s="422"/>
      <c r="I298" s="247">
        <v>12</v>
      </c>
      <c r="J298" s="93" t="s">
        <v>506</v>
      </c>
      <c r="K298" s="215"/>
      <c r="L298" s="223"/>
      <c r="M298" s="215"/>
      <c r="N298" s="215"/>
      <c r="O298" s="215"/>
      <c r="P298" s="245"/>
    </row>
    <row r="299" spans="1:16" ht="12.75">
      <c r="A299" s="401" t="s">
        <v>23</v>
      </c>
      <c r="B299" s="395"/>
      <c r="C299" s="395"/>
      <c r="D299" s="395"/>
      <c r="E299" s="395"/>
      <c r="F299" s="395"/>
      <c r="G299" s="395"/>
      <c r="H299" s="395"/>
      <c r="I299" s="247"/>
      <c r="J299" s="251" t="s">
        <v>455</v>
      </c>
      <c r="K299" s="215" t="s">
        <v>476</v>
      </c>
      <c r="L299" s="223">
        <v>998</v>
      </c>
      <c r="M299" s="215">
        <v>1</v>
      </c>
      <c r="N299" s="215">
        <v>1</v>
      </c>
      <c r="O299" s="215">
        <v>998</v>
      </c>
      <c r="P299" s="245">
        <f>9823.44+3612.08+8869+14453+1508.86</f>
        <v>38266.380000000005</v>
      </c>
    </row>
    <row r="300" spans="1:16" ht="25.5">
      <c r="A300" s="253">
        <v>1</v>
      </c>
      <c r="B300" s="253" t="s">
        <v>561</v>
      </c>
      <c r="C300" s="205"/>
      <c r="D300" s="205"/>
      <c r="E300" s="205"/>
      <c r="F300" s="205"/>
      <c r="G300" s="205"/>
      <c r="H300" s="373"/>
      <c r="I300" s="247"/>
      <c r="J300" s="248" t="s">
        <v>527</v>
      </c>
      <c r="K300" s="215"/>
      <c r="L300" s="223"/>
      <c r="M300" s="215"/>
      <c r="N300" s="215"/>
      <c r="O300" s="207">
        <f>O297+O299</f>
        <v>4990</v>
      </c>
      <c r="P300" s="245">
        <f>P297+P299</f>
        <v>92741</v>
      </c>
    </row>
    <row r="301" spans="1:16" ht="12.75">
      <c r="A301" s="215">
        <v>1</v>
      </c>
      <c r="B301" s="251" t="s">
        <v>155</v>
      </c>
      <c r="C301" s="215" t="s">
        <v>73</v>
      </c>
      <c r="D301" s="215">
        <v>29</v>
      </c>
      <c r="E301" s="215"/>
      <c r="F301" s="215"/>
      <c r="G301" s="215"/>
      <c r="H301" s="361"/>
      <c r="I301" s="247">
        <v>13</v>
      </c>
      <c r="J301" s="248" t="s">
        <v>167</v>
      </c>
      <c r="K301" s="247"/>
      <c r="L301" s="246"/>
      <c r="M301" s="210"/>
      <c r="N301" s="231"/>
      <c r="O301" s="245"/>
      <c r="P301" s="245"/>
    </row>
    <row r="302" spans="1:16" ht="12.75">
      <c r="A302" s="215">
        <v>2</v>
      </c>
      <c r="B302" s="251" t="s">
        <v>156</v>
      </c>
      <c r="C302" s="215" t="s">
        <v>73</v>
      </c>
      <c r="D302" s="223">
        <v>29</v>
      </c>
      <c r="E302" s="215"/>
      <c r="F302" s="215"/>
      <c r="G302" s="215"/>
      <c r="H302" s="361"/>
      <c r="I302" s="247"/>
      <c r="J302" s="248" t="s">
        <v>343</v>
      </c>
      <c r="K302" s="247"/>
      <c r="L302" s="246"/>
      <c r="M302" s="210"/>
      <c r="N302" s="231"/>
      <c r="O302" s="245"/>
      <c r="P302" s="245">
        <f>7681+3030+1114</f>
        <v>11825</v>
      </c>
    </row>
    <row r="303" spans="1:16" ht="12.75">
      <c r="A303" s="215">
        <v>3</v>
      </c>
      <c r="B303" s="251" t="s">
        <v>157</v>
      </c>
      <c r="C303" s="215" t="s">
        <v>80</v>
      </c>
      <c r="D303" s="223">
        <v>6</v>
      </c>
      <c r="E303" s="215"/>
      <c r="F303" s="215"/>
      <c r="G303" s="215"/>
      <c r="H303" s="361"/>
      <c r="I303" s="249"/>
      <c r="J303" s="248" t="s">
        <v>219</v>
      </c>
      <c r="K303" s="247"/>
      <c r="L303" s="246"/>
      <c r="M303" s="210"/>
      <c r="N303" s="231"/>
      <c r="O303" s="245"/>
      <c r="P303" s="230">
        <f>P300+P302</f>
        <v>104566</v>
      </c>
    </row>
    <row r="304" spans="1:16" ht="12.75" customHeight="1">
      <c r="A304" s="215">
        <v>4</v>
      </c>
      <c r="B304" s="251" t="s">
        <v>158</v>
      </c>
      <c r="C304" s="215" t="s">
        <v>73</v>
      </c>
      <c r="D304" s="223">
        <v>313.68</v>
      </c>
      <c r="E304" s="215"/>
      <c r="F304" s="215"/>
      <c r="G304" s="215"/>
      <c r="H304" s="361"/>
      <c r="I304" s="423" t="s">
        <v>124</v>
      </c>
      <c r="J304" s="424"/>
      <c r="K304" s="424"/>
      <c r="L304" s="424"/>
      <c r="M304" s="424"/>
      <c r="N304" s="424"/>
      <c r="O304" s="424"/>
      <c r="P304" s="424"/>
    </row>
    <row r="305" spans="1:16" ht="12.75" customHeight="1">
      <c r="A305" s="215">
        <v>5</v>
      </c>
      <c r="B305" s="251" t="s">
        <v>159</v>
      </c>
      <c r="C305" s="215" t="s">
        <v>73</v>
      </c>
      <c r="D305" s="223">
        <v>279.56</v>
      </c>
      <c r="E305" s="215"/>
      <c r="F305" s="215"/>
      <c r="G305" s="215"/>
      <c r="H305" s="361"/>
      <c r="I305" s="401" t="s">
        <v>22</v>
      </c>
      <c r="J305" s="395"/>
      <c r="K305" s="395"/>
      <c r="L305" s="395"/>
      <c r="M305" s="395"/>
      <c r="N305" s="395"/>
      <c r="O305" s="395"/>
      <c r="P305" s="395"/>
    </row>
    <row r="306" spans="1:16" ht="12.75">
      <c r="A306" s="215">
        <v>6</v>
      </c>
      <c r="B306" s="251" t="s">
        <v>160</v>
      </c>
      <c r="C306" s="215" t="s">
        <v>73</v>
      </c>
      <c r="D306" s="223">
        <v>79</v>
      </c>
      <c r="E306" s="215"/>
      <c r="F306" s="215"/>
      <c r="G306" s="215"/>
      <c r="H306" s="361"/>
      <c r="I306" s="212">
        <v>1</v>
      </c>
      <c r="J306" s="47" t="s">
        <v>169</v>
      </c>
      <c r="K306" s="212"/>
      <c r="L306" s="212"/>
      <c r="M306" s="224"/>
      <c r="N306" s="215"/>
      <c r="O306" s="215"/>
      <c r="P306" s="223"/>
    </row>
    <row r="307" spans="1:16" ht="12.75">
      <c r="A307" s="215">
        <v>7</v>
      </c>
      <c r="B307" s="251" t="s">
        <v>161</v>
      </c>
      <c r="C307" s="215" t="s">
        <v>162</v>
      </c>
      <c r="D307" s="223">
        <v>200</v>
      </c>
      <c r="E307" s="215"/>
      <c r="F307" s="215"/>
      <c r="G307" s="215"/>
      <c r="H307" s="361"/>
      <c r="I307" s="212"/>
      <c r="J307" s="51" t="s">
        <v>171</v>
      </c>
      <c r="K307" s="212" t="s">
        <v>53</v>
      </c>
      <c r="L307" s="212">
        <v>1583.46</v>
      </c>
      <c r="M307" s="212">
        <v>20</v>
      </c>
      <c r="N307" s="212">
        <v>0.091</v>
      </c>
      <c r="O307" s="221">
        <f>L307*M307*N307</f>
        <v>2881.8972</v>
      </c>
      <c r="P307" s="219">
        <f>153840/11238.09*O307</f>
        <v>39450.74877029815</v>
      </c>
    </row>
    <row r="308" spans="1:16" ht="12.75">
      <c r="A308" s="215">
        <v>8</v>
      </c>
      <c r="B308" s="251" t="s">
        <v>163</v>
      </c>
      <c r="C308" s="215" t="s">
        <v>73</v>
      </c>
      <c r="D308" s="223">
        <v>21.36</v>
      </c>
      <c r="E308" s="215"/>
      <c r="F308" s="215"/>
      <c r="G308" s="215"/>
      <c r="H308" s="361"/>
      <c r="I308" s="212"/>
      <c r="J308" s="51" t="s">
        <v>172</v>
      </c>
      <c r="K308" s="212" t="s">
        <v>73</v>
      </c>
      <c r="L308" s="212">
        <v>20835</v>
      </c>
      <c r="M308" s="212">
        <v>3</v>
      </c>
      <c r="N308" s="212">
        <v>0.043</v>
      </c>
      <c r="O308" s="221">
        <f>L308*M308*N308</f>
        <v>2687.7149999999997</v>
      </c>
      <c r="P308" s="219">
        <f>153840/11238.09*O308</f>
        <v>36792.55777449726</v>
      </c>
    </row>
    <row r="309" spans="1:16" ht="12.75">
      <c r="A309" s="215">
        <v>9</v>
      </c>
      <c r="B309" s="251" t="s">
        <v>164</v>
      </c>
      <c r="C309" s="215"/>
      <c r="D309" s="223"/>
      <c r="E309" s="215"/>
      <c r="F309" s="215"/>
      <c r="G309" s="215"/>
      <c r="H309" s="361"/>
      <c r="I309" s="212"/>
      <c r="J309" s="51" t="s">
        <v>170</v>
      </c>
      <c r="K309" s="212" t="s">
        <v>135</v>
      </c>
      <c r="L309" s="212">
        <v>2</v>
      </c>
      <c r="M309" s="212">
        <v>8</v>
      </c>
      <c r="N309" s="212">
        <v>1.63</v>
      </c>
      <c r="O309" s="221">
        <f>L309*M309*N309</f>
        <v>26.08</v>
      </c>
      <c r="P309" s="219">
        <f>153840/11238.09*O309</f>
        <v>357.0132647095725</v>
      </c>
    </row>
    <row r="310" spans="1:16" ht="12.75">
      <c r="A310" s="215">
        <v>10</v>
      </c>
      <c r="B310" s="251" t="s">
        <v>588</v>
      </c>
      <c r="C310" s="215"/>
      <c r="D310" s="223"/>
      <c r="E310" s="215"/>
      <c r="F310" s="215"/>
      <c r="G310" s="215"/>
      <c r="H310" s="361"/>
      <c r="I310" s="212"/>
      <c r="J310" s="47" t="s">
        <v>500</v>
      </c>
      <c r="K310" s="212"/>
      <c r="L310" s="212"/>
      <c r="M310" s="212"/>
      <c r="N310" s="212"/>
      <c r="O310" s="234">
        <f>SUM(O307:O309)</f>
        <v>5595.6921999999995</v>
      </c>
      <c r="P310" s="218">
        <f>SUM(P307:P309)</f>
        <v>76600.31980950499</v>
      </c>
    </row>
    <row r="311" spans="1:16" ht="12.75" customHeight="1">
      <c r="A311" s="215">
        <v>11</v>
      </c>
      <c r="B311" s="251" t="s">
        <v>166</v>
      </c>
      <c r="C311" s="215"/>
      <c r="D311" s="223"/>
      <c r="E311" s="215"/>
      <c r="F311" s="215"/>
      <c r="G311" s="215"/>
      <c r="H311" s="361"/>
      <c r="I311" s="423" t="s">
        <v>125</v>
      </c>
      <c r="J311" s="424"/>
      <c r="K311" s="424"/>
      <c r="L311" s="424"/>
      <c r="M311" s="424"/>
      <c r="N311" s="424"/>
      <c r="O311" s="424"/>
      <c r="P311" s="424"/>
    </row>
    <row r="312" spans="1:16" ht="12.75" customHeight="1">
      <c r="A312" s="215"/>
      <c r="B312" s="236" t="s">
        <v>413</v>
      </c>
      <c r="C312" s="215"/>
      <c r="D312" s="223"/>
      <c r="E312" s="215"/>
      <c r="F312" s="215"/>
      <c r="G312" s="215"/>
      <c r="H312" s="361">
        <f>95528-H314</f>
        <v>57599</v>
      </c>
      <c r="I312" s="401" t="s">
        <v>24</v>
      </c>
      <c r="J312" s="395"/>
      <c r="K312" s="395"/>
      <c r="L312" s="395"/>
      <c r="M312" s="395"/>
      <c r="N312" s="395"/>
      <c r="O312" s="395"/>
      <c r="P312" s="395"/>
    </row>
    <row r="313" spans="1:16" ht="12.75">
      <c r="A313" s="247">
        <v>12</v>
      </c>
      <c r="B313" s="93" t="s">
        <v>506</v>
      </c>
      <c r="C313" s="215"/>
      <c r="D313" s="223"/>
      <c r="E313" s="215"/>
      <c r="F313" s="215"/>
      <c r="G313" s="215"/>
      <c r="H313" s="359"/>
      <c r="I313" s="212">
        <v>1</v>
      </c>
      <c r="J313" s="47" t="s">
        <v>173</v>
      </c>
      <c r="K313" s="51"/>
      <c r="L313" s="212"/>
      <c r="M313" s="224"/>
      <c r="N313" s="215"/>
      <c r="O313" s="215"/>
      <c r="P313" s="223"/>
    </row>
    <row r="314" spans="1:16" ht="15.75" customHeight="1">
      <c r="A314" s="247"/>
      <c r="B314" s="251" t="s">
        <v>606</v>
      </c>
      <c r="C314" s="215" t="s">
        <v>476</v>
      </c>
      <c r="D314" s="223">
        <v>912</v>
      </c>
      <c r="E314" s="215">
        <v>1</v>
      </c>
      <c r="F314" s="215">
        <v>1</v>
      </c>
      <c r="G314" s="215">
        <v>912</v>
      </c>
      <c r="H314" s="359">
        <f>11429+4202+15895+6403</f>
        <v>37929</v>
      </c>
      <c r="I314" s="212"/>
      <c r="J314" s="51" t="s">
        <v>174</v>
      </c>
      <c r="K314" s="212" t="s">
        <v>53</v>
      </c>
      <c r="L314" s="212">
        <v>28.73</v>
      </c>
      <c r="M314" s="243">
        <v>72</v>
      </c>
      <c r="N314" s="243">
        <v>0.162</v>
      </c>
      <c r="O314" s="221">
        <f aca="true" t="shared" si="30" ref="O314:O321">L314*M314*N314</f>
        <v>335.10672</v>
      </c>
      <c r="P314" s="219">
        <f aca="true" t="shared" si="31" ref="P314:P321">153840/11238.09*O314</f>
        <v>4587.329146216127</v>
      </c>
    </row>
    <row r="315" spans="1:16" ht="12.75">
      <c r="A315" s="247"/>
      <c r="B315" s="248" t="s">
        <v>659</v>
      </c>
      <c r="C315" s="247"/>
      <c r="D315" s="246"/>
      <c r="E315" s="210"/>
      <c r="F315" s="231"/>
      <c r="G315" s="252"/>
      <c r="H315" s="359">
        <v>58645</v>
      </c>
      <c r="I315" s="212"/>
      <c r="J315" s="51" t="s">
        <v>175</v>
      </c>
      <c r="K315" s="212" t="s">
        <v>53</v>
      </c>
      <c r="L315" s="212">
        <v>2.5</v>
      </c>
      <c r="M315" s="243">
        <v>3</v>
      </c>
      <c r="N315" s="243">
        <v>6.25</v>
      </c>
      <c r="O315" s="221">
        <f t="shared" si="30"/>
        <v>46.875</v>
      </c>
      <c r="P315" s="219">
        <f t="shared" si="31"/>
        <v>641.6793245115496</v>
      </c>
    </row>
    <row r="316" spans="1:16" ht="16.5" customHeight="1">
      <c r="A316" s="247"/>
      <c r="B316" s="345" t="s">
        <v>527</v>
      </c>
      <c r="C316" s="258"/>
      <c r="D316" s="346"/>
      <c r="E316" s="258"/>
      <c r="F316" s="258"/>
      <c r="G316" s="259"/>
      <c r="H316" s="374">
        <f>H312+H314+H315</f>
        <v>154173</v>
      </c>
      <c r="I316" s="212"/>
      <c r="J316" s="51" t="s">
        <v>176</v>
      </c>
      <c r="K316" s="212" t="s">
        <v>53</v>
      </c>
      <c r="L316" s="212">
        <v>28.73</v>
      </c>
      <c r="M316" s="243">
        <v>36</v>
      </c>
      <c r="N316" s="243">
        <v>0.214</v>
      </c>
      <c r="O316" s="221">
        <f t="shared" si="30"/>
        <v>221.33592</v>
      </c>
      <c r="P316" s="219">
        <f t="shared" si="31"/>
        <v>3029.9025842291703</v>
      </c>
    </row>
    <row r="317" spans="1:16" ht="12.75">
      <c r="A317" s="421" t="s">
        <v>124</v>
      </c>
      <c r="B317" s="422"/>
      <c r="C317" s="422"/>
      <c r="D317" s="422"/>
      <c r="E317" s="422"/>
      <c r="F317" s="422"/>
      <c r="G317" s="422"/>
      <c r="H317" s="422"/>
      <c r="I317" s="212"/>
      <c r="J317" s="51" t="s">
        <v>177</v>
      </c>
      <c r="K317" s="212" t="s">
        <v>53</v>
      </c>
      <c r="L317" s="212">
        <v>28.73</v>
      </c>
      <c r="M317" s="243">
        <v>24</v>
      </c>
      <c r="N317" s="243">
        <v>1.43</v>
      </c>
      <c r="O317" s="221">
        <f t="shared" si="30"/>
        <v>986.0135999999999</v>
      </c>
      <c r="P317" s="219">
        <f t="shared" si="31"/>
        <v>13497.696870553624</v>
      </c>
    </row>
    <row r="318" spans="1:16" ht="12.75">
      <c r="A318" s="421" t="s">
        <v>22</v>
      </c>
      <c r="B318" s="422"/>
      <c r="C318" s="422"/>
      <c r="D318" s="422"/>
      <c r="E318" s="422"/>
      <c r="F318" s="422"/>
      <c r="G318" s="422"/>
      <c r="H318" s="422"/>
      <c r="I318" s="212"/>
      <c r="J318" s="51" t="s">
        <v>178</v>
      </c>
      <c r="K318" s="212" t="s">
        <v>73</v>
      </c>
      <c r="L318" s="212">
        <v>2032</v>
      </c>
      <c r="M318" s="243">
        <v>6</v>
      </c>
      <c r="N318" s="243">
        <v>0.05</v>
      </c>
      <c r="O318" s="221">
        <f t="shared" si="30"/>
        <v>609.6</v>
      </c>
      <c r="P318" s="219">
        <f t="shared" si="31"/>
        <v>8344.9112794078</v>
      </c>
    </row>
    <row r="319" spans="1:16" ht="12.75">
      <c r="A319" s="212">
        <v>1</v>
      </c>
      <c r="B319" s="47" t="s">
        <v>169</v>
      </c>
      <c r="C319" s="212"/>
      <c r="D319" s="212"/>
      <c r="E319" s="224"/>
      <c r="F319" s="215"/>
      <c r="G319" s="215"/>
      <c r="H319" s="361"/>
      <c r="I319" s="212"/>
      <c r="J319" s="51" t="s">
        <v>170</v>
      </c>
      <c r="K319" s="212" t="s">
        <v>179</v>
      </c>
      <c r="L319" s="212">
        <v>3</v>
      </c>
      <c r="M319" s="243">
        <v>6</v>
      </c>
      <c r="N319" s="243">
        <v>1.63</v>
      </c>
      <c r="O319" s="221">
        <f t="shared" si="30"/>
        <v>29.339999999999996</v>
      </c>
      <c r="P319" s="219">
        <f t="shared" si="31"/>
        <v>401.639922798269</v>
      </c>
    </row>
    <row r="320" spans="1:16" ht="12.75">
      <c r="A320" s="212"/>
      <c r="B320" s="51" t="s">
        <v>583</v>
      </c>
      <c r="C320" s="212" t="s">
        <v>53</v>
      </c>
      <c r="D320" s="212">
        <v>36</v>
      </c>
      <c r="E320" s="224">
        <v>32</v>
      </c>
      <c r="F320" s="215">
        <v>0.162</v>
      </c>
      <c r="G320" s="260">
        <f aca="true" t="shared" si="32" ref="G320:G325">D320*E320*F320</f>
        <v>186.624</v>
      </c>
      <c r="H320" s="361">
        <f aca="true" t="shared" si="33" ref="H320:H325">94696/10957.043*G320</f>
        <v>1612.8937619392384</v>
      </c>
      <c r="I320" s="212"/>
      <c r="J320" s="51" t="s">
        <v>180</v>
      </c>
      <c r="K320" s="212" t="s">
        <v>53</v>
      </c>
      <c r="L320" s="212">
        <v>28.73</v>
      </c>
      <c r="M320" s="243">
        <v>24</v>
      </c>
      <c r="N320" s="243">
        <v>0.24</v>
      </c>
      <c r="O320" s="221">
        <f t="shared" si="30"/>
        <v>165.48479999999998</v>
      </c>
      <c r="P320" s="219">
        <f t="shared" si="31"/>
        <v>2265.3477265264823</v>
      </c>
    </row>
    <row r="321" spans="1:16" ht="12.75">
      <c r="A321" s="212"/>
      <c r="B321" s="51" t="s">
        <v>202</v>
      </c>
      <c r="C321" s="212" t="s">
        <v>203</v>
      </c>
      <c r="D321" s="212">
        <v>50</v>
      </c>
      <c r="E321" s="224">
        <v>4</v>
      </c>
      <c r="F321" s="215">
        <v>0.35</v>
      </c>
      <c r="G321" s="260">
        <f t="shared" si="32"/>
        <v>70</v>
      </c>
      <c r="H321" s="361">
        <f t="shared" si="33"/>
        <v>604.9734403707278</v>
      </c>
      <c r="I321" s="212"/>
      <c r="J321" s="51" t="s">
        <v>181</v>
      </c>
      <c r="K321" s="212" t="s">
        <v>71</v>
      </c>
      <c r="L321" s="212">
        <v>6</v>
      </c>
      <c r="M321" s="243">
        <v>96</v>
      </c>
      <c r="N321" s="243">
        <v>0.125</v>
      </c>
      <c r="O321" s="221">
        <f t="shared" si="30"/>
        <v>72</v>
      </c>
      <c r="P321" s="219">
        <f t="shared" si="31"/>
        <v>985.6194424497401</v>
      </c>
    </row>
    <row r="322" spans="1:16" ht="12.75">
      <c r="A322" s="212"/>
      <c r="B322" s="51" t="s">
        <v>584</v>
      </c>
      <c r="C322" s="212" t="s">
        <v>53</v>
      </c>
      <c r="D322" s="212">
        <v>20</v>
      </c>
      <c r="E322" s="224">
        <v>8</v>
      </c>
      <c r="F322" s="215">
        <v>6.25</v>
      </c>
      <c r="G322" s="260">
        <f t="shared" si="32"/>
        <v>1000</v>
      </c>
      <c r="H322" s="361">
        <f t="shared" si="33"/>
        <v>8642.477719581824</v>
      </c>
      <c r="I322" s="212"/>
      <c r="J322" s="47" t="s">
        <v>500</v>
      </c>
      <c r="K322" s="208"/>
      <c r="L322" s="208"/>
      <c r="M322" s="208"/>
      <c r="N322" s="208"/>
      <c r="O322" s="234">
        <f>SUM(O314:O321)</f>
        <v>2465.75604</v>
      </c>
      <c r="P322" s="218">
        <f>SUM(P314:P321)</f>
        <v>33754.12629669276</v>
      </c>
    </row>
    <row r="323" spans="1:16" ht="15">
      <c r="A323" s="212"/>
      <c r="B323" s="51" t="s">
        <v>585</v>
      </c>
      <c r="C323" s="212" t="s">
        <v>53</v>
      </c>
      <c r="D323" s="212">
        <v>677.28</v>
      </c>
      <c r="E323" s="224">
        <v>32</v>
      </c>
      <c r="F323" s="215">
        <v>0.03</v>
      </c>
      <c r="G323" s="260">
        <f t="shared" si="32"/>
        <v>650.1887999999999</v>
      </c>
      <c r="H323" s="361">
        <f t="shared" si="33"/>
        <v>5619.2422175216425</v>
      </c>
      <c r="I323" s="215">
        <v>2</v>
      </c>
      <c r="J323" s="86" t="s">
        <v>425</v>
      </c>
      <c r="K323" s="212"/>
      <c r="L323" s="212"/>
      <c r="M323" s="210"/>
      <c r="N323" s="205"/>
      <c r="O323" s="205"/>
      <c r="P323" s="233">
        <v>11728</v>
      </c>
    </row>
    <row r="324" spans="1:16" ht="12.75" customHeight="1">
      <c r="A324" s="212"/>
      <c r="B324" s="51" t="s">
        <v>172</v>
      </c>
      <c r="C324" s="212" t="s">
        <v>73</v>
      </c>
      <c r="D324" s="212">
        <v>31950</v>
      </c>
      <c r="E324" s="212">
        <v>2</v>
      </c>
      <c r="F324" s="212">
        <v>0.043</v>
      </c>
      <c r="G324" s="221">
        <f t="shared" si="32"/>
        <v>2747.7</v>
      </c>
      <c r="H324" s="361">
        <f t="shared" si="33"/>
        <v>23746.936030094977</v>
      </c>
      <c r="I324" s="399" t="s">
        <v>126</v>
      </c>
      <c r="J324" s="402"/>
      <c r="K324" s="402"/>
      <c r="L324" s="402"/>
      <c r="M324" s="402"/>
      <c r="N324" s="402"/>
      <c r="O324" s="402"/>
      <c r="P324" s="402"/>
    </row>
    <row r="325" spans="1:16" ht="12.75">
      <c r="A325" s="212"/>
      <c r="B325" s="51" t="s">
        <v>170</v>
      </c>
      <c r="C325" s="212" t="s">
        <v>135</v>
      </c>
      <c r="D325" s="212">
        <v>2</v>
      </c>
      <c r="E325" s="212">
        <v>8</v>
      </c>
      <c r="F325" s="212">
        <v>1.63</v>
      </c>
      <c r="G325" s="221">
        <f t="shared" si="32"/>
        <v>26.08</v>
      </c>
      <c r="H325" s="361">
        <f t="shared" si="33"/>
        <v>225.39581892669398</v>
      </c>
      <c r="I325" s="205">
        <v>1</v>
      </c>
      <c r="J325" s="47" t="s">
        <v>183</v>
      </c>
      <c r="K325" s="212"/>
      <c r="L325" s="212"/>
      <c r="M325" s="205"/>
      <c r="N325" s="205"/>
      <c r="O325" s="205"/>
      <c r="P325" s="235"/>
    </row>
    <row r="326" spans="1:16" ht="12.75">
      <c r="A326" s="212"/>
      <c r="B326" s="47" t="s">
        <v>528</v>
      </c>
      <c r="C326" s="212"/>
      <c r="D326" s="212"/>
      <c r="E326" s="212"/>
      <c r="F326" s="212"/>
      <c r="G326" s="234">
        <f>SUM(G320:G325)</f>
        <v>4680.592799999999</v>
      </c>
      <c r="H326" s="368">
        <f>SUM(H320:H325)</f>
        <v>40451.9189884351</v>
      </c>
      <c r="I326" s="215"/>
      <c r="J326" s="51" t="s">
        <v>184</v>
      </c>
      <c r="K326" s="212" t="s">
        <v>53</v>
      </c>
      <c r="L326" s="212">
        <v>8.74</v>
      </c>
      <c r="M326" s="243">
        <v>80</v>
      </c>
      <c r="N326" s="243">
        <v>0.162</v>
      </c>
      <c r="O326" s="221">
        <f>L326*M326*N326</f>
        <v>113.27040000000001</v>
      </c>
      <c r="P326" s="219">
        <f aca="true" t="shared" si="34" ref="P326:P340">153840/11238.09*O326</f>
        <v>1550.5765068619312</v>
      </c>
    </row>
    <row r="327" spans="1:16" ht="12.75">
      <c r="A327" s="421" t="s">
        <v>125</v>
      </c>
      <c r="B327" s="422"/>
      <c r="C327" s="422"/>
      <c r="D327" s="422"/>
      <c r="E327" s="422"/>
      <c r="F327" s="422"/>
      <c r="G327" s="422"/>
      <c r="H327" s="422"/>
      <c r="I327" s="215"/>
      <c r="J327" s="51" t="s">
        <v>180</v>
      </c>
      <c r="K327" s="212" t="s">
        <v>53</v>
      </c>
      <c r="L327" s="212">
        <v>8.74</v>
      </c>
      <c r="M327" s="243">
        <v>24</v>
      </c>
      <c r="N327" s="243">
        <v>0.24</v>
      </c>
      <c r="O327" s="221">
        <f>L327*M327*N327</f>
        <v>50.3424</v>
      </c>
      <c r="P327" s="219">
        <f t="shared" si="34"/>
        <v>689.1451141608583</v>
      </c>
    </row>
    <row r="328" spans="1:16" ht="12.75">
      <c r="A328" s="421" t="s">
        <v>24</v>
      </c>
      <c r="B328" s="422"/>
      <c r="C328" s="422"/>
      <c r="D328" s="422"/>
      <c r="E328" s="422"/>
      <c r="F328" s="422"/>
      <c r="G328" s="422"/>
      <c r="H328" s="422"/>
      <c r="I328" s="215"/>
      <c r="J328" s="51" t="s">
        <v>185</v>
      </c>
      <c r="K328" s="212"/>
      <c r="L328" s="212"/>
      <c r="M328" s="243"/>
      <c r="N328" s="243"/>
      <c r="O328" s="221"/>
      <c r="P328" s="219">
        <f t="shared" si="34"/>
        <v>0</v>
      </c>
    </row>
    <row r="329" spans="1:16" ht="12.75">
      <c r="A329" s="212">
        <v>1</v>
      </c>
      <c r="B329" s="47" t="s">
        <v>173</v>
      </c>
      <c r="C329" s="51"/>
      <c r="D329" s="212"/>
      <c r="E329" s="224"/>
      <c r="F329" s="215"/>
      <c r="G329" s="215"/>
      <c r="H329" s="361"/>
      <c r="I329" s="215"/>
      <c r="J329" s="51" t="s">
        <v>186</v>
      </c>
      <c r="K329" s="212" t="s">
        <v>53</v>
      </c>
      <c r="L329" s="212">
        <v>8.74</v>
      </c>
      <c r="M329" s="243">
        <v>36</v>
      </c>
      <c r="N329" s="243">
        <v>0.214</v>
      </c>
      <c r="O329" s="221">
        <f>L329*M329*N329</f>
        <v>67.33296</v>
      </c>
      <c r="P329" s="219">
        <f t="shared" si="34"/>
        <v>921.7315901901479</v>
      </c>
    </row>
    <row r="330" spans="1:16" ht="12.75">
      <c r="A330" s="212"/>
      <c r="B330" s="51" t="s">
        <v>174</v>
      </c>
      <c r="C330" s="212" t="s">
        <v>53</v>
      </c>
      <c r="D330" s="212">
        <v>28.73</v>
      </c>
      <c r="E330" s="243">
        <v>64</v>
      </c>
      <c r="F330" s="243">
        <v>0.162</v>
      </c>
      <c r="G330" s="221">
        <f aca="true" t="shared" si="35" ref="G330:G337">D330*E330*F330</f>
        <v>297.87264</v>
      </c>
      <c r="H330" s="361">
        <f aca="true" t="shared" si="36" ref="H330:H337">94696/10957.043*G330</f>
        <v>2574.3576544730176</v>
      </c>
      <c r="I330" s="215"/>
      <c r="J330" s="51" t="s">
        <v>187</v>
      </c>
      <c r="K330" s="212" t="s">
        <v>53</v>
      </c>
      <c r="L330" s="212">
        <v>8.74</v>
      </c>
      <c r="M330" s="243">
        <v>12</v>
      </c>
      <c r="N330" s="243">
        <v>1.43</v>
      </c>
      <c r="O330" s="221">
        <f>L330*M330*N330</f>
        <v>149.9784</v>
      </c>
      <c r="P330" s="219">
        <f t="shared" si="34"/>
        <v>2053.0781526042238</v>
      </c>
    </row>
    <row r="331" spans="1:16" ht="12.75">
      <c r="A331" s="212"/>
      <c r="B331" s="51" t="s">
        <v>175</v>
      </c>
      <c r="C331" s="212" t="s">
        <v>53</v>
      </c>
      <c r="D331" s="212">
        <v>2.5</v>
      </c>
      <c r="E331" s="243">
        <v>3</v>
      </c>
      <c r="F331" s="243">
        <v>6.25</v>
      </c>
      <c r="G331" s="221">
        <f t="shared" si="35"/>
        <v>46.875</v>
      </c>
      <c r="H331" s="361">
        <f t="shared" si="36"/>
        <v>405.116143105398</v>
      </c>
      <c r="I331" s="215"/>
      <c r="J331" s="47" t="s">
        <v>500</v>
      </c>
      <c r="K331" s="212"/>
      <c r="L331" s="212"/>
      <c r="M331" s="243"/>
      <c r="N331" s="243"/>
      <c r="O331" s="234">
        <f>SUM(O326:O330)</f>
        <v>380.92416000000003</v>
      </c>
      <c r="P331" s="219">
        <f t="shared" si="34"/>
        <v>5214.531363817161</v>
      </c>
    </row>
    <row r="332" spans="1:16" ht="12.75">
      <c r="A332" s="212"/>
      <c r="B332" s="51" t="s">
        <v>176</v>
      </c>
      <c r="C332" s="212" t="s">
        <v>53</v>
      </c>
      <c r="D332" s="212">
        <v>28.73</v>
      </c>
      <c r="E332" s="243">
        <v>36</v>
      </c>
      <c r="F332" s="243">
        <v>0.214</v>
      </c>
      <c r="G332" s="221">
        <f t="shared" si="35"/>
        <v>221.33592</v>
      </c>
      <c r="H332" s="361">
        <f t="shared" si="36"/>
        <v>1912.890757143145</v>
      </c>
      <c r="I332" s="215">
        <v>2</v>
      </c>
      <c r="J332" s="47" t="s">
        <v>188</v>
      </c>
      <c r="K332" s="212"/>
      <c r="L332" s="212"/>
      <c r="M332" s="224"/>
      <c r="N332" s="215"/>
      <c r="O332" s="221"/>
      <c r="P332" s="219">
        <f t="shared" si="34"/>
        <v>0</v>
      </c>
    </row>
    <row r="333" spans="1:16" ht="12.75">
      <c r="A333" s="212"/>
      <c r="B333" s="51" t="s">
        <v>177</v>
      </c>
      <c r="C333" s="212" t="s">
        <v>53</v>
      </c>
      <c r="D333" s="212">
        <v>28.73</v>
      </c>
      <c r="E333" s="243">
        <v>24</v>
      </c>
      <c r="F333" s="243">
        <v>1.43</v>
      </c>
      <c r="G333" s="221">
        <f t="shared" si="35"/>
        <v>986.0135999999999</v>
      </c>
      <c r="H333" s="361">
        <f t="shared" si="36"/>
        <v>8521.600569204664</v>
      </c>
      <c r="I333" s="215"/>
      <c r="J333" s="51" t="s">
        <v>330</v>
      </c>
      <c r="K333" s="212" t="s">
        <v>53</v>
      </c>
      <c r="L333" s="212">
        <v>97.15</v>
      </c>
      <c r="M333" s="243">
        <f>2*4*9</f>
        <v>72</v>
      </c>
      <c r="N333" s="243">
        <v>0.091</v>
      </c>
      <c r="O333" s="221">
        <f aca="true" t="shared" si="37" ref="O333:O340">L333*M333*N333</f>
        <v>636.5268</v>
      </c>
      <c r="P333" s="219">
        <f t="shared" si="34"/>
        <v>8713.516523893295</v>
      </c>
    </row>
    <row r="334" spans="1:16" ht="12.75">
      <c r="A334" s="212"/>
      <c r="B334" s="51" t="s">
        <v>178</v>
      </c>
      <c r="C334" s="212" t="s">
        <v>73</v>
      </c>
      <c r="D334" s="212">
        <v>1900</v>
      </c>
      <c r="E334" s="243">
        <v>6</v>
      </c>
      <c r="F334" s="243">
        <v>0.05</v>
      </c>
      <c r="G334" s="221">
        <f t="shared" si="35"/>
        <v>570</v>
      </c>
      <c r="H334" s="361">
        <f t="shared" si="36"/>
        <v>4926.21230016164</v>
      </c>
      <c r="I334" s="215"/>
      <c r="J334" s="51" t="s">
        <v>331</v>
      </c>
      <c r="K334" s="212" t="s">
        <v>53</v>
      </c>
      <c r="L334" s="212">
        <v>24.74</v>
      </c>
      <c r="M334" s="243">
        <f>2*4*9</f>
        <v>72</v>
      </c>
      <c r="N334" s="243">
        <v>0.091</v>
      </c>
      <c r="O334" s="221">
        <f t="shared" si="37"/>
        <v>162.09647999999999</v>
      </c>
      <c r="P334" s="219">
        <f t="shared" si="34"/>
        <v>2218.964475564798</v>
      </c>
    </row>
    <row r="335" spans="1:16" ht="12.75">
      <c r="A335" s="212"/>
      <c r="B335" s="51" t="s">
        <v>170</v>
      </c>
      <c r="C335" s="212" t="s">
        <v>179</v>
      </c>
      <c r="D335" s="212">
        <v>3</v>
      </c>
      <c r="E335" s="243">
        <v>6</v>
      </c>
      <c r="F335" s="243">
        <v>1.63</v>
      </c>
      <c r="G335" s="221">
        <f t="shared" si="35"/>
        <v>29.339999999999996</v>
      </c>
      <c r="H335" s="361">
        <f t="shared" si="36"/>
        <v>253.5702962925307</v>
      </c>
      <c r="I335" s="215"/>
      <c r="J335" s="51" t="s">
        <v>332</v>
      </c>
      <c r="K335" s="212" t="s">
        <v>53</v>
      </c>
      <c r="L335" s="212">
        <v>329.98</v>
      </c>
      <c r="M335" s="243">
        <v>36</v>
      </c>
      <c r="N335" s="243">
        <v>0.03</v>
      </c>
      <c r="O335" s="221">
        <f t="shared" si="37"/>
        <v>356.3784</v>
      </c>
      <c r="P335" s="219">
        <f t="shared" si="34"/>
        <v>4878.520554293478</v>
      </c>
    </row>
    <row r="336" spans="1:16" ht="12.75">
      <c r="A336" s="212"/>
      <c r="B336" s="51" t="s">
        <v>180</v>
      </c>
      <c r="C336" s="212" t="s">
        <v>53</v>
      </c>
      <c r="D336" s="212">
        <v>28.73</v>
      </c>
      <c r="E336" s="243">
        <v>24</v>
      </c>
      <c r="F336" s="243">
        <v>0.24</v>
      </c>
      <c r="G336" s="221">
        <f t="shared" si="35"/>
        <v>165.48479999999998</v>
      </c>
      <c r="H336" s="361">
        <f t="shared" si="36"/>
        <v>1430.1986969294542</v>
      </c>
      <c r="I336" s="215"/>
      <c r="J336" s="51" t="s">
        <v>190</v>
      </c>
      <c r="K336" s="212" t="s">
        <v>53</v>
      </c>
      <c r="L336" s="212">
        <v>117.32</v>
      </c>
      <c r="M336" s="243">
        <f>7*9</f>
        <v>63</v>
      </c>
      <c r="N336" s="243">
        <v>0.129</v>
      </c>
      <c r="O336" s="221">
        <f t="shared" si="37"/>
        <v>953.45964</v>
      </c>
      <c r="P336" s="219">
        <f t="shared" si="34"/>
        <v>13052.060538543472</v>
      </c>
    </row>
    <row r="337" spans="1:16" ht="12.75">
      <c r="A337" s="212"/>
      <c r="B337" s="51" t="s">
        <v>181</v>
      </c>
      <c r="C337" s="212" t="s">
        <v>71</v>
      </c>
      <c r="D337" s="212">
        <v>6</v>
      </c>
      <c r="E337" s="243">
        <v>96</v>
      </c>
      <c r="F337" s="243">
        <v>0.125</v>
      </c>
      <c r="G337" s="221">
        <f t="shared" si="35"/>
        <v>72</v>
      </c>
      <c r="H337" s="361">
        <f t="shared" si="36"/>
        <v>622.2583958098913</v>
      </c>
      <c r="I337" s="215"/>
      <c r="J337" s="51" t="s">
        <v>191</v>
      </c>
      <c r="K337" s="212" t="s">
        <v>203</v>
      </c>
      <c r="L337" s="212">
        <v>0.2</v>
      </c>
      <c r="M337" s="243">
        <v>72</v>
      </c>
      <c r="N337" s="243">
        <v>1.128</v>
      </c>
      <c r="O337" s="221">
        <f t="shared" si="37"/>
        <v>16.243199999999998</v>
      </c>
      <c r="P337" s="219">
        <f t="shared" si="34"/>
        <v>222.35574621666134</v>
      </c>
    </row>
    <row r="338" spans="1:16" ht="12.75">
      <c r="A338" s="212"/>
      <c r="B338" s="47" t="s">
        <v>528</v>
      </c>
      <c r="C338" s="208"/>
      <c r="D338" s="208"/>
      <c r="E338" s="208"/>
      <c r="F338" s="208"/>
      <c r="G338" s="234">
        <f>SUM(G330:G337)</f>
        <v>2388.92196</v>
      </c>
      <c r="H338" s="368">
        <f>SUM(H330:H337)</f>
        <v>20646.204813119744</v>
      </c>
      <c r="I338" s="215"/>
      <c r="J338" s="51" t="s">
        <v>195</v>
      </c>
      <c r="K338" s="212" t="s">
        <v>203</v>
      </c>
      <c r="L338" s="212">
        <v>16.2</v>
      </c>
      <c r="M338" s="243">
        <v>1</v>
      </c>
      <c r="N338" s="243">
        <v>0.68</v>
      </c>
      <c r="O338" s="221">
        <f t="shared" si="37"/>
        <v>11.016</v>
      </c>
      <c r="P338" s="219">
        <f t="shared" si="34"/>
        <v>150.79977469481022</v>
      </c>
    </row>
    <row r="339" spans="1:16" ht="15">
      <c r="A339" s="215">
        <v>2</v>
      </c>
      <c r="B339" s="86" t="s">
        <v>425</v>
      </c>
      <c r="C339" s="212"/>
      <c r="D339" s="212"/>
      <c r="E339" s="210"/>
      <c r="F339" s="205"/>
      <c r="G339" s="205"/>
      <c r="H339" s="372">
        <v>40430</v>
      </c>
      <c r="I339" s="215"/>
      <c r="J339" s="51" t="s">
        <v>196</v>
      </c>
      <c r="K339" s="212" t="s">
        <v>80</v>
      </c>
      <c r="L339" s="212">
        <v>14</v>
      </c>
      <c r="M339" s="243">
        <v>72</v>
      </c>
      <c r="N339" s="243">
        <v>0.125</v>
      </c>
      <c r="O339" s="221">
        <f t="shared" si="37"/>
        <v>126</v>
      </c>
      <c r="P339" s="219">
        <f t="shared" si="34"/>
        <v>1724.8340242870452</v>
      </c>
    </row>
    <row r="340" spans="1:16" ht="12.75">
      <c r="A340" s="421" t="s">
        <v>126</v>
      </c>
      <c r="B340" s="422"/>
      <c r="C340" s="422"/>
      <c r="D340" s="422"/>
      <c r="E340" s="422"/>
      <c r="F340" s="422"/>
      <c r="G340" s="422"/>
      <c r="H340" s="422"/>
      <c r="I340" s="215"/>
      <c r="J340" s="51" t="s">
        <v>153</v>
      </c>
      <c r="K340" s="212" t="s">
        <v>61</v>
      </c>
      <c r="L340" s="212">
        <f>6*8</f>
        <v>48</v>
      </c>
      <c r="M340" s="243">
        <v>8</v>
      </c>
      <c r="N340" s="243">
        <v>1</v>
      </c>
      <c r="O340" s="221">
        <f t="shared" si="37"/>
        <v>384</v>
      </c>
      <c r="P340" s="219">
        <f t="shared" si="34"/>
        <v>5256.637026398614</v>
      </c>
    </row>
    <row r="341" spans="1:16" ht="12.75">
      <c r="A341" s="205">
        <v>1</v>
      </c>
      <c r="B341" s="47" t="s">
        <v>183</v>
      </c>
      <c r="C341" s="212"/>
      <c r="D341" s="212"/>
      <c r="E341" s="205"/>
      <c r="F341" s="205"/>
      <c r="G341" s="205"/>
      <c r="H341" s="368"/>
      <c r="I341" s="215"/>
      <c r="J341" s="47" t="s">
        <v>528</v>
      </c>
      <c r="K341" s="212"/>
      <c r="L341" s="212"/>
      <c r="M341" s="243"/>
      <c r="N341" s="243"/>
      <c r="O341" s="234">
        <f>SUM(O333:O340)</f>
        <v>2645.7205200000003</v>
      </c>
      <c r="P341" s="218">
        <f>SUM(P333:P340)</f>
        <v>36217.68866389217</v>
      </c>
    </row>
    <row r="342" spans="1:16" ht="15">
      <c r="A342" s="215"/>
      <c r="B342" s="51" t="s">
        <v>184</v>
      </c>
      <c r="C342" s="212" t="s">
        <v>53</v>
      </c>
      <c r="D342" s="212">
        <v>8.74</v>
      </c>
      <c r="E342" s="243">
        <v>80</v>
      </c>
      <c r="F342" s="243">
        <v>0.162</v>
      </c>
      <c r="G342" s="221">
        <f>D342*E342*F342</f>
        <v>113.27040000000001</v>
      </c>
      <c r="H342" s="361">
        <f>94696/10957.043*G342</f>
        <v>978.9369082881212</v>
      </c>
      <c r="I342" s="215"/>
      <c r="J342" s="2" t="s">
        <v>427</v>
      </c>
      <c r="K342" s="212"/>
      <c r="L342" s="212"/>
      <c r="M342" s="243"/>
      <c r="N342" s="243"/>
      <c r="O342" s="207">
        <f>O310+O322+O331+O341</f>
        <v>11088.092920000001</v>
      </c>
      <c r="P342" s="242">
        <f>P310+P322+P331+P341</f>
        <v>151786.6661339071</v>
      </c>
    </row>
    <row r="343" spans="1:16" ht="12.75">
      <c r="A343" s="215"/>
      <c r="B343" s="51" t="s">
        <v>180</v>
      </c>
      <c r="C343" s="212" t="s">
        <v>53</v>
      </c>
      <c r="D343" s="212">
        <v>8.74</v>
      </c>
      <c r="E343" s="243">
        <v>24</v>
      </c>
      <c r="F343" s="243">
        <v>0.24</v>
      </c>
      <c r="G343" s="221">
        <f>D343*E343*F343</f>
        <v>50.3424</v>
      </c>
      <c r="H343" s="361">
        <f>94696/10957.043*G343</f>
        <v>435.08307035027605</v>
      </c>
      <c r="I343" s="215">
        <v>3</v>
      </c>
      <c r="J343" s="93" t="s">
        <v>505</v>
      </c>
      <c r="K343" s="215" t="s">
        <v>476</v>
      </c>
      <c r="L343" s="215"/>
      <c r="M343" s="210"/>
      <c r="N343" s="205"/>
      <c r="O343" s="207"/>
      <c r="P343" s="241"/>
    </row>
    <row r="344" spans="1:16" ht="12.75">
      <c r="A344" s="215"/>
      <c r="B344" s="51" t="s">
        <v>185</v>
      </c>
      <c r="C344" s="212"/>
      <c r="D344" s="212"/>
      <c r="E344" s="243"/>
      <c r="F344" s="243"/>
      <c r="G344" s="221"/>
      <c r="H344" s="361">
        <f>94696/10957.043*G344</f>
        <v>0</v>
      </c>
      <c r="I344" s="215"/>
      <c r="J344" s="51" t="s">
        <v>461</v>
      </c>
      <c r="K344" s="215" t="s">
        <v>476</v>
      </c>
      <c r="L344" s="215">
        <v>60</v>
      </c>
      <c r="M344" s="224">
        <v>1</v>
      </c>
      <c r="N344" s="215">
        <v>1</v>
      </c>
      <c r="O344" s="215">
        <v>60</v>
      </c>
      <c r="P344" s="219">
        <f>153840/11238.09*O344</f>
        <v>821.3495353747834</v>
      </c>
    </row>
    <row r="345" spans="1:16" ht="12.75">
      <c r="A345" s="215"/>
      <c r="B345" s="51" t="s">
        <v>186</v>
      </c>
      <c r="C345" s="212" t="s">
        <v>53</v>
      </c>
      <c r="D345" s="212">
        <v>8.74</v>
      </c>
      <c r="E345" s="243">
        <v>36</v>
      </c>
      <c r="F345" s="243">
        <v>0.214</v>
      </c>
      <c r="G345" s="221">
        <f>D345*E345*F345</f>
        <v>67.33296</v>
      </c>
      <c r="H345" s="361">
        <f>94696/10957.043*G345</f>
        <v>581.9236065934942</v>
      </c>
      <c r="I345" s="215"/>
      <c r="J345" s="51" t="s">
        <v>456</v>
      </c>
      <c r="K345" s="215" t="s">
        <v>476</v>
      </c>
      <c r="L345" s="215">
        <v>20</v>
      </c>
      <c r="M345" s="224">
        <v>1</v>
      </c>
      <c r="N345" s="215">
        <v>1</v>
      </c>
      <c r="O345" s="215">
        <v>20</v>
      </c>
      <c r="P345" s="219">
        <f>153840/11238.09*O345</f>
        <v>273.78317845826115</v>
      </c>
    </row>
    <row r="346" spans="1:16" ht="12.75">
      <c r="A346" s="215"/>
      <c r="B346" s="51" t="s">
        <v>187</v>
      </c>
      <c r="C346" s="212" t="s">
        <v>53</v>
      </c>
      <c r="D346" s="212">
        <v>8.74</v>
      </c>
      <c r="E346" s="243">
        <v>12</v>
      </c>
      <c r="F346" s="243">
        <v>1.43</v>
      </c>
      <c r="G346" s="221">
        <f>D346*E346*F346</f>
        <v>149.9784</v>
      </c>
      <c r="H346" s="361">
        <f>94696/10957.043*G346</f>
        <v>1296.1849804185306</v>
      </c>
      <c r="I346" s="215"/>
      <c r="J346" s="51" t="s">
        <v>490</v>
      </c>
      <c r="K346" s="215" t="s">
        <v>476</v>
      </c>
      <c r="L346" s="215">
        <v>20</v>
      </c>
      <c r="M346" s="224">
        <v>1</v>
      </c>
      <c r="N346" s="215">
        <v>1</v>
      </c>
      <c r="O346" s="215">
        <v>20</v>
      </c>
      <c r="P346" s="219">
        <f>153840/11238.09*O346</f>
        <v>273.78317845826115</v>
      </c>
    </row>
    <row r="347" spans="1:16" ht="12.75">
      <c r="A347" s="215"/>
      <c r="B347" s="47" t="s">
        <v>528</v>
      </c>
      <c r="C347" s="212"/>
      <c r="D347" s="212"/>
      <c r="E347" s="243"/>
      <c r="F347" s="243"/>
      <c r="G347" s="234">
        <f>SUM(G342:G346)</f>
        <v>380.92416000000003</v>
      </c>
      <c r="H347" s="368">
        <f>SUM(H342:H346)</f>
        <v>3292.1285656504224</v>
      </c>
      <c r="I347" s="215"/>
      <c r="J347" s="51" t="s">
        <v>457</v>
      </c>
      <c r="K347" s="215" t="s">
        <v>476</v>
      </c>
      <c r="L347" s="215">
        <v>16</v>
      </c>
      <c r="M347" s="224">
        <v>1</v>
      </c>
      <c r="N347" s="215">
        <v>1</v>
      </c>
      <c r="O347" s="215">
        <v>16</v>
      </c>
      <c r="P347" s="219">
        <f>153840/11238.09*O347</f>
        <v>219.0265427666089</v>
      </c>
    </row>
    <row r="348" spans="1:16" ht="12.75">
      <c r="A348" s="215">
        <v>2</v>
      </c>
      <c r="B348" s="47" t="s">
        <v>188</v>
      </c>
      <c r="C348" s="212"/>
      <c r="D348" s="212"/>
      <c r="E348" s="224"/>
      <c r="F348" s="215"/>
      <c r="G348" s="221"/>
      <c r="H348" s="361"/>
      <c r="I348" s="227"/>
      <c r="J348" s="51" t="s">
        <v>458</v>
      </c>
      <c r="K348" s="215" t="s">
        <v>476</v>
      </c>
      <c r="L348" s="215">
        <v>34</v>
      </c>
      <c r="M348" s="224">
        <v>1</v>
      </c>
      <c r="N348" s="215">
        <v>1</v>
      </c>
      <c r="O348" s="215">
        <v>34</v>
      </c>
      <c r="P348" s="219">
        <f>153840/11238.09*O348</f>
        <v>465.43140337904396</v>
      </c>
    </row>
    <row r="349" spans="1:16" ht="12.75">
      <c r="A349" s="215"/>
      <c r="B349" s="51" t="s">
        <v>330</v>
      </c>
      <c r="C349" s="212" t="s">
        <v>53</v>
      </c>
      <c r="D349" s="212">
        <v>97.15</v>
      </c>
      <c r="E349" s="243">
        <v>64</v>
      </c>
      <c r="F349" s="243">
        <v>0.091</v>
      </c>
      <c r="G349" s="221">
        <f aca="true" t="shared" si="38" ref="G349:G359">D349*E349*F349</f>
        <v>565.8016</v>
      </c>
      <c r="H349" s="361">
        <f aca="true" t="shared" si="39" ref="H349:H359">94696/10957.043*G349</f>
        <v>4889.927721703748</v>
      </c>
      <c r="I349" s="227"/>
      <c r="J349" s="47" t="s">
        <v>413</v>
      </c>
      <c r="K349" s="215"/>
      <c r="L349" s="215"/>
      <c r="M349" s="224"/>
      <c r="N349" s="215"/>
      <c r="O349" s="205">
        <f>SUM(O344:O348)</f>
        <v>150</v>
      </c>
      <c r="P349" s="229">
        <f>SUM(P344:P348)</f>
        <v>2053.3738384369585</v>
      </c>
    </row>
    <row r="350" spans="1:16" ht="25.5">
      <c r="A350" s="215"/>
      <c r="B350" s="51" t="s">
        <v>331</v>
      </c>
      <c r="C350" s="212" t="s">
        <v>53</v>
      </c>
      <c r="D350" s="212">
        <v>24.74</v>
      </c>
      <c r="E350" s="243">
        <v>64</v>
      </c>
      <c r="F350" s="243">
        <v>0.091</v>
      </c>
      <c r="G350" s="221">
        <f t="shared" si="38"/>
        <v>144.08576</v>
      </c>
      <c r="H350" s="361">
        <f t="shared" si="39"/>
        <v>1245.257970509014</v>
      </c>
      <c r="I350" s="51"/>
      <c r="J350" s="226" t="s">
        <v>529</v>
      </c>
      <c r="K350" s="51"/>
      <c r="L350" s="51"/>
      <c r="M350" s="51"/>
      <c r="N350" s="51"/>
      <c r="O350" s="240">
        <f>O342+O349</f>
        <v>11238.092920000001</v>
      </c>
      <c r="P350" s="201">
        <f>P342+P349</f>
        <v>153840.03997234406</v>
      </c>
    </row>
    <row r="351" spans="1:16" ht="15">
      <c r="A351" s="215"/>
      <c r="B351" s="51" t="s">
        <v>332</v>
      </c>
      <c r="C351" s="212" t="s">
        <v>53</v>
      </c>
      <c r="D351" s="212">
        <v>329.98</v>
      </c>
      <c r="E351" s="243">
        <v>36</v>
      </c>
      <c r="F351" s="243">
        <v>0.03</v>
      </c>
      <c r="G351" s="221">
        <f t="shared" si="38"/>
        <v>356.3784</v>
      </c>
      <c r="H351" s="361">
        <f t="shared" si="39"/>
        <v>3079.9923817402196</v>
      </c>
      <c r="I351" s="227">
        <v>4</v>
      </c>
      <c r="J351" s="86" t="s">
        <v>504</v>
      </c>
      <c r="K351" s="215"/>
      <c r="L351" s="215"/>
      <c r="M351" s="224"/>
      <c r="N351" s="215"/>
      <c r="O351" s="234">
        <f>O352+O353+O354+O355+O356</f>
        <v>1293</v>
      </c>
      <c r="P351" s="229">
        <f>SUM(P352:P356)</f>
        <v>22246</v>
      </c>
    </row>
    <row r="352" spans="1:16" ht="14.25">
      <c r="A352" s="215"/>
      <c r="B352" s="51" t="s">
        <v>190</v>
      </c>
      <c r="C352" s="212" t="s">
        <v>53</v>
      </c>
      <c r="D352" s="212">
        <v>117.32</v>
      </c>
      <c r="E352" s="243">
        <v>64</v>
      </c>
      <c r="F352" s="243">
        <v>0.129</v>
      </c>
      <c r="G352" s="221">
        <f t="shared" si="38"/>
        <v>968.59392</v>
      </c>
      <c r="H352" s="361">
        <f t="shared" si="39"/>
        <v>8371.05137292242</v>
      </c>
      <c r="I352" s="212"/>
      <c r="J352" s="93" t="s">
        <v>272</v>
      </c>
      <c r="K352" s="224"/>
      <c r="L352" s="224"/>
      <c r="M352" s="239"/>
      <c r="N352" s="239"/>
      <c r="O352" s="238">
        <v>28</v>
      </c>
      <c r="P352" s="238">
        <f>3308+207+76</f>
        <v>3591</v>
      </c>
    </row>
    <row r="353" spans="1:16" ht="12.75">
      <c r="A353" s="215"/>
      <c r="B353" s="51" t="s">
        <v>176</v>
      </c>
      <c r="C353" s="212" t="s">
        <v>53</v>
      </c>
      <c r="D353" s="212">
        <v>117.32</v>
      </c>
      <c r="E353" s="243">
        <f>4*4</f>
        <v>16</v>
      </c>
      <c r="F353" s="243">
        <v>0.214</v>
      </c>
      <c r="G353" s="221">
        <f t="shared" si="38"/>
        <v>401.70367999999996</v>
      </c>
      <c r="H353" s="361">
        <f t="shared" si="39"/>
        <v>3471.7151042740265</v>
      </c>
      <c r="I353" s="215"/>
      <c r="J353" s="236" t="s">
        <v>496</v>
      </c>
      <c r="K353" s="205" t="s">
        <v>53</v>
      </c>
      <c r="L353" s="205">
        <f>1.375</f>
        <v>1.375</v>
      </c>
      <c r="M353" s="210"/>
      <c r="N353" s="205"/>
      <c r="O353" s="205">
        <f>572</f>
        <v>572</v>
      </c>
      <c r="P353" s="205">
        <f>2000+930+3258+1198</f>
        <v>7386</v>
      </c>
    </row>
    <row r="354" spans="1:16" ht="12.75">
      <c r="A354" s="215"/>
      <c r="B354" s="51" t="s">
        <v>143</v>
      </c>
      <c r="C354" s="212" t="s">
        <v>53</v>
      </c>
      <c r="D354" s="212">
        <v>329.98</v>
      </c>
      <c r="E354" s="243">
        <v>3</v>
      </c>
      <c r="F354" s="243">
        <v>0.427</v>
      </c>
      <c r="G354" s="221">
        <f t="shared" si="38"/>
        <v>422.70438</v>
      </c>
      <c r="H354" s="361">
        <f t="shared" si="39"/>
        <v>3653.2131861196494</v>
      </c>
      <c r="I354" s="215"/>
      <c r="J354" s="236" t="s">
        <v>478</v>
      </c>
      <c r="K354" s="205"/>
      <c r="L354" s="205"/>
      <c r="M354" s="210"/>
      <c r="N354" s="205"/>
      <c r="O354" s="205">
        <v>398</v>
      </c>
      <c r="P354" s="235">
        <f>256+3995+1468</f>
        <v>5719</v>
      </c>
    </row>
    <row r="355" spans="1:16" ht="12.75">
      <c r="A355" s="215"/>
      <c r="B355" s="51" t="s">
        <v>195</v>
      </c>
      <c r="C355" s="212" t="s">
        <v>203</v>
      </c>
      <c r="D355" s="212">
        <v>16.2</v>
      </c>
      <c r="E355" s="243">
        <v>1</v>
      </c>
      <c r="F355" s="243">
        <v>0.68</v>
      </c>
      <c r="G355" s="221">
        <f t="shared" si="38"/>
        <v>11.016</v>
      </c>
      <c r="H355" s="361">
        <f t="shared" si="39"/>
        <v>95.20553455891339</v>
      </c>
      <c r="I355" s="215"/>
      <c r="J355" s="47" t="s">
        <v>270</v>
      </c>
      <c r="K355" s="212" t="s">
        <v>53</v>
      </c>
      <c r="L355" s="212">
        <f>2.58+0.065</f>
        <v>2.645</v>
      </c>
      <c r="M355" s="210"/>
      <c r="N355" s="205"/>
      <c r="O355" s="234">
        <v>262</v>
      </c>
      <c r="P355" s="235">
        <f>911+2545+936</f>
        <v>4392</v>
      </c>
    </row>
    <row r="356" spans="1:16" ht="12.75">
      <c r="A356" s="215"/>
      <c r="B356" s="51" t="s">
        <v>196</v>
      </c>
      <c r="C356" s="212" t="s">
        <v>80</v>
      </c>
      <c r="D356" s="212">
        <v>7</v>
      </c>
      <c r="E356" s="243">
        <v>64</v>
      </c>
      <c r="F356" s="243">
        <v>0.125</v>
      </c>
      <c r="G356" s="221">
        <f t="shared" si="38"/>
        <v>56</v>
      </c>
      <c r="H356" s="361">
        <f t="shared" si="39"/>
        <v>483.9787522965822</v>
      </c>
      <c r="I356" s="215"/>
      <c r="J356" s="93" t="s">
        <v>499</v>
      </c>
      <c r="K356" s="210" t="s">
        <v>73</v>
      </c>
      <c r="L356" s="210">
        <f>0.17+0.077</f>
        <v>0.247</v>
      </c>
      <c r="M356" s="210"/>
      <c r="N356" s="231"/>
      <c r="O356" s="230">
        <v>33</v>
      </c>
      <c r="P356" s="229">
        <f>713+325+120</f>
        <v>1158</v>
      </c>
    </row>
    <row r="357" spans="1:16" ht="15">
      <c r="A357" s="215"/>
      <c r="B357" s="51" t="s">
        <v>586</v>
      </c>
      <c r="C357" s="212" t="s">
        <v>53</v>
      </c>
      <c r="D357" s="212">
        <v>1.5</v>
      </c>
      <c r="E357" s="243">
        <v>4</v>
      </c>
      <c r="F357" s="243">
        <v>6.25</v>
      </c>
      <c r="G357" s="221">
        <f t="shared" si="38"/>
        <v>37.5</v>
      </c>
      <c r="H357" s="361">
        <f t="shared" si="39"/>
        <v>324.09291448431844</v>
      </c>
      <c r="I357" s="215"/>
      <c r="J357" s="2" t="s">
        <v>562</v>
      </c>
      <c r="K357" s="212"/>
      <c r="L357" s="212"/>
      <c r="M357" s="210"/>
      <c r="N357" s="205"/>
      <c r="O357" s="234"/>
      <c r="P357" s="233">
        <v>27224</v>
      </c>
    </row>
    <row r="358" spans="1:16" ht="12.75">
      <c r="A358" s="215"/>
      <c r="B358" s="51" t="s">
        <v>170</v>
      </c>
      <c r="C358" s="212" t="s">
        <v>135</v>
      </c>
      <c r="D358" s="212">
        <v>2</v>
      </c>
      <c r="E358" s="243">
        <v>7</v>
      </c>
      <c r="F358" s="243">
        <v>1.63</v>
      </c>
      <c r="G358" s="221">
        <f t="shared" si="38"/>
        <v>22.82</v>
      </c>
      <c r="H358" s="361">
        <f t="shared" si="39"/>
        <v>197.22134156085724</v>
      </c>
      <c r="I358" s="215">
        <v>5</v>
      </c>
      <c r="J358" s="47" t="s">
        <v>228</v>
      </c>
      <c r="K358" s="210"/>
      <c r="L358" s="210"/>
      <c r="M358" s="210"/>
      <c r="N358" s="231"/>
      <c r="O358" s="230"/>
      <c r="P358" s="229"/>
    </row>
    <row r="359" spans="1:16" ht="15">
      <c r="A359" s="215"/>
      <c r="B359" s="51" t="s">
        <v>153</v>
      </c>
      <c r="C359" s="212" t="s">
        <v>61</v>
      </c>
      <c r="D359" s="212">
        <f>6*8</f>
        <v>48</v>
      </c>
      <c r="E359" s="243">
        <v>5</v>
      </c>
      <c r="F359" s="243">
        <v>1</v>
      </c>
      <c r="G359" s="221">
        <f t="shared" si="38"/>
        <v>240</v>
      </c>
      <c r="H359" s="361">
        <f t="shared" si="39"/>
        <v>2074.194652699638</v>
      </c>
      <c r="I359" s="227"/>
      <c r="J359" s="47" t="s">
        <v>564</v>
      </c>
      <c r="K359" s="215" t="s">
        <v>80</v>
      </c>
      <c r="L359" s="215">
        <v>1</v>
      </c>
      <c r="M359" s="210"/>
      <c r="N359" s="205"/>
      <c r="O359" s="207"/>
      <c r="P359" s="228">
        <v>8640</v>
      </c>
    </row>
    <row r="360" spans="1:16" ht="24.75" customHeight="1">
      <c r="A360" s="215"/>
      <c r="B360" s="47" t="s">
        <v>528</v>
      </c>
      <c r="C360" s="212"/>
      <c r="D360" s="212"/>
      <c r="E360" s="243"/>
      <c r="F360" s="243"/>
      <c r="G360" s="234">
        <f>SUM(G349:G359)</f>
        <v>3226.6037400000005</v>
      </c>
      <c r="H360" s="368">
        <f>SUM(H349:H359)</f>
        <v>27885.85093286939</v>
      </c>
      <c r="I360" s="227"/>
      <c r="J360" s="226" t="s">
        <v>361</v>
      </c>
      <c r="K360" s="215"/>
      <c r="L360" s="215"/>
      <c r="M360" s="215"/>
      <c r="N360" s="215"/>
      <c r="O360" s="207"/>
      <c r="P360" s="206">
        <f>P323+P350+P351+P359+P357</f>
        <v>223678.03997234406</v>
      </c>
    </row>
    <row r="361" spans="1:16" ht="12.75" customHeight="1">
      <c r="A361" s="215">
        <v>3</v>
      </c>
      <c r="B361" s="93" t="s">
        <v>505</v>
      </c>
      <c r="C361" s="215" t="s">
        <v>476</v>
      </c>
      <c r="D361" s="215"/>
      <c r="E361" s="210"/>
      <c r="F361" s="205"/>
      <c r="G361" s="207"/>
      <c r="H361" s="361"/>
      <c r="I361" s="399" t="s">
        <v>25</v>
      </c>
      <c r="J361" s="402"/>
      <c r="K361" s="402"/>
      <c r="L361" s="402"/>
      <c r="M361" s="402"/>
      <c r="N361" s="402"/>
      <c r="O361" s="402"/>
      <c r="P361" s="402"/>
    </row>
    <row r="362" spans="1:16" ht="12.75">
      <c r="A362" s="215"/>
      <c r="B362" s="51" t="s">
        <v>589</v>
      </c>
      <c r="C362" s="215" t="s">
        <v>476</v>
      </c>
      <c r="D362" s="215">
        <v>60</v>
      </c>
      <c r="E362" s="224">
        <v>1</v>
      </c>
      <c r="F362" s="215">
        <v>1</v>
      </c>
      <c r="G362" s="215">
        <v>60</v>
      </c>
      <c r="H362" s="361">
        <f>94696/10957.043*G362</f>
        <v>518.5486631749095</v>
      </c>
      <c r="I362" s="51">
        <v>1</v>
      </c>
      <c r="J362" s="47" t="s">
        <v>200</v>
      </c>
      <c r="K362" s="51"/>
      <c r="L362" s="51"/>
      <c r="M362" s="224"/>
      <c r="N362" s="215"/>
      <c r="O362" s="215"/>
      <c r="P362" s="223"/>
    </row>
    <row r="363" spans="1:16" ht="12.75">
      <c r="A363" s="215"/>
      <c r="B363" s="51" t="s">
        <v>576</v>
      </c>
      <c r="C363" s="215" t="s">
        <v>476</v>
      </c>
      <c r="D363" s="215">
        <v>150</v>
      </c>
      <c r="E363" s="224">
        <v>1</v>
      </c>
      <c r="F363" s="215">
        <v>1</v>
      </c>
      <c r="G363" s="215">
        <v>150</v>
      </c>
      <c r="H363" s="361">
        <f>94696/10957.043*G363</f>
        <v>1296.3716579372738</v>
      </c>
      <c r="I363" s="212"/>
      <c r="J363" s="51" t="s">
        <v>201</v>
      </c>
      <c r="K363" s="212" t="s">
        <v>53</v>
      </c>
      <c r="L363" s="212">
        <v>1.08</v>
      </c>
      <c r="M363" s="216">
        <v>3</v>
      </c>
      <c r="N363" s="215">
        <v>0.23</v>
      </c>
      <c r="O363" s="221">
        <f>L363*M363*N363</f>
        <v>0.7452000000000001</v>
      </c>
      <c r="P363" s="219">
        <f aca="true" t="shared" si="40" ref="P363:P379">34453/2365.83*O363</f>
        <v>10.85216418762126</v>
      </c>
    </row>
    <row r="364" spans="1:16" ht="12.75">
      <c r="A364" s="215"/>
      <c r="B364" s="51" t="s">
        <v>590</v>
      </c>
      <c r="C364" s="215" t="s">
        <v>476</v>
      </c>
      <c r="D364" s="215">
        <v>20</v>
      </c>
      <c r="E364" s="224">
        <v>1</v>
      </c>
      <c r="F364" s="215">
        <v>1</v>
      </c>
      <c r="G364" s="215">
        <v>20</v>
      </c>
      <c r="H364" s="361">
        <f>94696/10957.043*G364</f>
        <v>172.8495543916365</v>
      </c>
      <c r="I364" s="212"/>
      <c r="J364" s="51" t="s">
        <v>202</v>
      </c>
      <c r="K364" s="212" t="s">
        <v>203</v>
      </c>
      <c r="L364" s="212">
        <v>30</v>
      </c>
      <c r="M364" s="216">
        <v>1</v>
      </c>
      <c r="N364" s="215">
        <v>0.35</v>
      </c>
      <c r="O364" s="221">
        <f>L364*M364*N364</f>
        <v>10.5</v>
      </c>
      <c r="P364" s="219">
        <f t="shared" si="40"/>
        <v>152.90891568709503</v>
      </c>
    </row>
    <row r="365" spans="1:16" ht="12.75">
      <c r="A365" s="215"/>
      <c r="B365" s="51" t="s">
        <v>457</v>
      </c>
      <c r="C365" s="215" t="s">
        <v>476</v>
      </c>
      <c r="D365" s="215">
        <v>16</v>
      </c>
      <c r="E365" s="224">
        <v>1</v>
      </c>
      <c r="F365" s="215">
        <v>1</v>
      </c>
      <c r="G365" s="215">
        <v>16</v>
      </c>
      <c r="H365" s="361">
        <f>94696/10957.043*G365</f>
        <v>138.2796435133092</v>
      </c>
      <c r="I365" s="212"/>
      <c r="J365" s="51" t="s">
        <v>204</v>
      </c>
      <c r="K365" s="212" t="s">
        <v>135</v>
      </c>
      <c r="L365" s="212">
        <v>4</v>
      </c>
      <c r="M365" s="216">
        <v>12</v>
      </c>
      <c r="N365" s="215">
        <v>1.35</v>
      </c>
      <c r="O365" s="221">
        <f>L365*M365*N365</f>
        <v>64.80000000000001</v>
      </c>
      <c r="P365" s="219">
        <f t="shared" si="40"/>
        <v>943.6664510975008</v>
      </c>
    </row>
    <row r="366" spans="1:16" ht="12.75">
      <c r="A366" s="227"/>
      <c r="B366" s="51" t="s">
        <v>591</v>
      </c>
      <c r="C366" s="215" t="s">
        <v>476</v>
      </c>
      <c r="D366" s="215">
        <v>34</v>
      </c>
      <c r="E366" s="224">
        <v>1</v>
      </c>
      <c r="F366" s="215">
        <v>1</v>
      </c>
      <c r="G366" s="215">
        <v>34</v>
      </c>
      <c r="H366" s="361">
        <f>94696/10957.043*G366</f>
        <v>293.84424246578203</v>
      </c>
      <c r="I366" s="212"/>
      <c r="J366" s="51" t="s">
        <v>205</v>
      </c>
      <c r="K366" s="212" t="s">
        <v>53</v>
      </c>
      <c r="L366" s="212">
        <v>1.08</v>
      </c>
      <c r="M366" s="216">
        <v>72</v>
      </c>
      <c r="N366" s="215">
        <v>0.03</v>
      </c>
      <c r="O366" s="221">
        <f>L366*M366*N366</f>
        <v>2.3328</v>
      </c>
      <c r="P366" s="219">
        <f t="shared" si="40"/>
        <v>33.97199223951003</v>
      </c>
    </row>
    <row r="367" spans="1:16" ht="15" customHeight="1">
      <c r="A367" s="227"/>
      <c r="B367" s="47" t="s">
        <v>413</v>
      </c>
      <c r="C367" s="215"/>
      <c r="D367" s="215"/>
      <c r="E367" s="224"/>
      <c r="F367" s="215"/>
      <c r="G367" s="205">
        <f>SUM(G362:G366)</f>
        <v>280</v>
      </c>
      <c r="H367" s="375">
        <f>SUM(H362:H366)</f>
        <v>2419.893761482911</v>
      </c>
      <c r="I367" s="212"/>
      <c r="J367" s="51" t="s">
        <v>206</v>
      </c>
      <c r="K367" s="212" t="s">
        <v>53</v>
      </c>
      <c r="L367" s="211">
        <f>100/100</f>
        <v>1</v>
      </c>
      <c r="M367" s="216">
        <v>12</v>
      </c>
      <c r="N367" s="215">
        <v>1.21</v>
      </c>
      <c r="O367" s="221">
        <f>L367*M367*N367</f>
        <v>14.52</v>
      </c>
      <c r="P367" s="219">
        <f t="shared" si="40"/>
        <v>211.45118626443997</v>
      </c>
    </row>
    <row r="368" spans="1:16" ht="30.75" customHeight="1">
      <c r="A368" s="227"/>
      <c r="B368" s="349" t="s">
        <v>665</v>
      </c>
      <c r="C368" s="350"/>
      <c r="D368" s="350"/>
      <c r="E368" s="348"/>
      <c r="F368" s="350"/>
      <c r="G368" s="351">
        <f>G326+G338+G347+G360+G367</f>
        <v>10957.042660000001</v>
      </c>
      <c r="H368" s="369">
        <f>H326+H338+H347+H360+H367</f>
        <v>94695.99706155756</v>
      </c>
      <c r="I368" s="212"/>
      <c r="J368" s="51"/>
      <c r="K368" s="212"/>
      <c r="L368" s="212"/>
      <c r="M368" s="216"/>
      <c r="N368" s="215"/>
      <c r="O368" s="221"/>
      <c r="P368" s="219">
        <f t="shared" si="40"/>
        <v>0</v>
      </c>
    </row>
    <row r="369" spans="1:16" ht="15" customHeight="1">
      <c r="A369" s="227"/>
      <c r="B369" s="47" t="s">
        <v>120</v>
      </c>
      <c r="C369" s="215"/>
      <c r="D369" s="215"/>
      <c r="E369" s="224"/>
      <c r="F369" s="215"/>
      <c r="G369" s="205"/>
      <c r="H369" s="375"/>
      <c r="I369" s="212">
        <v>2</v>
      </c>
      <c r="J369" s="47" t="s">
        <v>207</v>
      </c>
      <c r="K369" s="212"/>
      <c r="L369" s="212"/>
      <c r="M369" s="216"/>
      <c r="N369" s="215"/>
      <c r="O369" s="221"/>
      <c r="P369" s="219">
        <f t="shared" si="40"/>
        <v>0</v>
      </c>
    </row>
    <row r="370" spans="1:16" ht="12.75">
      <c r="A370" s="212"/>
      <c r="B370" s="268" t="s">
        <v>614</v>
      </c>
      <c r="C370" s="212" t="s">
        <v>61</v>
      </c>
      <c r="D370" s="212">
        <v>179</v>
      </c>
      <c r="E370" s="243">
        <v>1</v>
      </c>
      <c r="F370" s="243">
        <v>1</v>
      </c>
      <c r="G370" s="221">
        <f aca="true" t="shared" si="41" ref="G370:G375">D370*E370*F370</f>
        <v>179</v>
      </c>
      <c r="H370" s="361">
        <v>10965</v>
      </c>
      <c r="I370" s="212"/>
      <c r="J370" s="51" t="s">
        <v>208</v>
      </c>
      <c r="K370" s="212" t="s">
        <v>53</v>
      </c>
      <c r="L370" s="222">
        <f>5000/100</f>
        <v>50</v>
      </c>
      <c r="M370" s="216">
        <v>3</v>
      </c>
      <c r="N370" s="215">
        <v>0.23</v>
      </c>
      <c r="O370" s="221">
        <f aca="true" t="shared" si="42" ref="O370:O379">L370*M370*N370</f>
        <v>34.5</v>
      </c>
      <c r="P370" s="219">
        <f t="shared" si="40"/>
        <v>502.41500868616936</v>
      </c>
    </row>
    <row r="371" spans="1:16" ht="12.75">
      <c r="A371" s="212"/>
      <c r="B371" s="266" t="s">
        <v>272</v>
      </c>
      <c r="C371" s="212" t="s">
        <v>61</v>
      </c>
      <c r="D371" s="212">
        <v>3471</v>
      </c>
      <c r="E371" s="212">
        <v>1</v>
      </c>
      <c r="F371" s="212">
        <v>1</v>
      </c>
      <c r="G371" s="221">
        <f t="shared" si="41"/>
        <v>3471</v>
      </c>
      <c r="H371" s="361">
        <v>65412</v>
      </c>
      <c r="I371" s="212"/>
      <c r="J371" s="51" t="s">
        <v>541</v>
      </c>
      <c r="K371" s="212" t="s">
        <v>53</v>
      </c>
      <c r="L371" s="212">
        <v>1.44</v>
      </c>
      <c r="M371" s="216">
        <v>27</v>
      </c>
      <c r="N371" s="215">
        <v>0.03</v>
      </c>
      <c r="O371" s="221">
        <f t="shared" si="42"/>
        <v>1.1663999999999999</v>
      </c>
      <c r="P371" s="219">
        <f t="shared" si="40"/>
        <v>16.98599611975501</v>
      </c>
    </row>
    <row r="372" spans="1:16" ht="12.75">
      <c r="A372" s="212"/>
      <c r="B372" s="251" t="s">
        <v>478</v>
      </c>
      <c r="C372" s="212" t="s">
        <v>61</v>
      </c>
      <c r="D372" s="212">
        <v>60</v>
      </c>
      <c r="E372" s="243">
        <v>1</v>
      </c>
      <c r="F372" s="243">
        <v>1</v>
      </c>
      <c r="G372" s="221">
        <f t="shared" si="41"/>
        <v>60</v>
      </c>
      <c r="H372" s="361">
        <v>1217</v>
      </c>
      <c r="I372" s="212"/>
      <c r="J372" s="51" t="s">
        <v>211</v>
      </c>
      <c r="K372" s="212" t="s">
        <v>53</v>
      </c>
      <c r="L372" s="212">
        <f>1945/100</f>
        <v>19.45</v>
      </c>
      <c r="M372" s="216">
        <v>27</v>
      </c>
      <c r="N372" s="215">
        <v>0.03</v>
      </c>
      <c r="O372" s="221">
        <f t="shared" si="42"/>
        <v>15.754499999999998</v>
      </c>
      <c r="P372" s="219">
        <f t="shared" si="40"/>
        <v>229.42890592307984</v>
      </c>
    </row>
    <row r="373" spans="1:16" ht="12.75">
      <c r="A373" s="212"/>
      <c r="B373" s="251" t="s">
        <v>496</v>
      </c>
      <c r="C373" s="212" t="s">
        <v>61</v>
      </c>
      <c r="D373" s="212">
        <v>1469</v>
      </c>
      <c r="E373" s="243">
        <v>1</v>
      </c>
      <c r="F373" s="243">
        <v>1</v>
      </c>
      <c r="G373" s="221">
        <f t="shared" si="41"/>
        <v>1469</v>
      </c>
      <c r="H373" s="361">
        <v>56306</v>
      </c>
      <c r="I373" s="212"/>
      <c r="J373" s="51" t="s">
        <v>212</v>
      </c>
      <c r="K373" s="212"/>
      <c r="L373" s="212"/>
      <c r="M373" s="216"/>
      <c r="N373" s="215"/>
      <c r="O373" s="221">
        <f t="shared" si="42"/>
        <v>0</v>
      </c>
      <c r="P373" s="219">
        <f t="shared" si="40"/>
        <v>0</v>
      </c>
    </row>
    <row r="374" spans="1:16" ht="12.75">
      <c r="A374" s="215"/>
      <c r="B374" s="51" t="s">
        <v>270</v>
      </c>
      <c r="C374" s="212" t="s">
        <v>61</v>
      </c>
      <c r="D374" s="212">
        <v>362</v>
      </c>
      <c r="E374" s="243">
        <v>1</v>
      </c>
      <c r="F374" s="243">
        <v>1</v>
      </c>
      <c r="G374" s="221">
        <f t="shared" si="41"/>
        <v>362</v>
      </c>
      <c r="H374" s="361">
        <v>8071</v>
      </c>
      <c r="I374" s="212"/>
      <c r="J374" s="51" t="s">
        <v>213</v>
      </c>
      <c r="K374" s="212" t="s">
        <v>53</v>
      </c>
      <c r="L374" s="212">
        <v>27.86</v>
      </c>
      <c r="M374" s="216">
        <v>12</v>
      </c>
      <c r="N374" s="215">
        <v>1.21</v>
      </c>
      <c r="O374" s="221">
        <f t="shared" si="42"/>
        <v>404.5272</v>
      </c>
      <c r="P374" s="219">
        <f t="shared" si="40"/>
        <v>5891.030049327297</v>
      </c>
    </row>
    <row r="375" spans="1:16" ht="12.75">
      <c r="A375" s="215"/>
      <c r="B375" s="266" t="s">
        <v>499</v>
      </c>
      <c r="C375" s="212" t="s">
        <v>61</v>
      </c>
      <c r="D375" s="212">
        <v>249</v>
      </c>
      <c r="E375" s="243">
        <v>1</v>
      </c>
      <c r="F375" s="243">
        <v>1</v>
      </c>
      <c r="G375" s="221">
        <f t="shared" si="41"/>
        <v>249</v>
      </c>
      <c r="H375" s="361">
        <v>7473</v>
      </c>
      <c r="I375" s="212"/>
      <c r="J375" s="51" t="s">
        <v>214</v>
      </c>
      <c r="K375" s="212" t="s">
        <v>179</v>
      </c>
      <c r="L375" s="212">
        <v>3</v>
      </c>
      <c r="M375" s="216">
        <v>12</v>
      </c>
      <c r="N375" s="215">
        <v>1.35</v>
      </c>
      <c r="O375" s="221">
        <f t="shared" si="42"/>
        <v>48.6</v>
      </c>
      <c r="P375" s="219">
        <f t="shared" si="40"/>
        <v>707.7498383231256</v>
      </c>
    </row>
    <row r="376" spans="1:16" ht="15" customHeight="1">
      <c r="A376" s="227"/>
      <c r="B376" s="47" t="s">
        <v>413</v>
      </c>
      <c r="C376" s="215"/>
      <c r="D376" s="215"/>
      <c r="E376" s="224"/>
      <c r="F376" s="215"/>
      <c r="G376" s="234">
        <f>SUM(G370:G375)</f>
        <v>5790</v>
      </c>
      <c r="H376" s="375">
        <f>SUM(H370:H375)</f>
        <v>149444</v>
      </c>
      <c r="I376" s="212"/>
      <c r="J376" s="51" t="s">
        <v>215</v>
      </c>
      <c r="K376" s="212" t="s">
        <v>53</v>
      </c>
      <c r="L376" s="212">
        <v>27.86</v>
      </c>
      <c r="M376" s="216">
        <v>6</v>
      </c>
      <c r="N376" s="215">
        <v>0.4</v>
      </c>
      <c r="O376" s="221">
        <f t="shared" si="42"/>
        <v>66.864</v>
      </c>
      <c r="P376" s="219">
        <f t="shared" si="40"/>
        <v>973.7239750954211</v>
      </c>
    </row>
    <row r="377" spans="1:16" ht="25.5">
      <c r="A377" s="51"/>
      <c r="B377" s="226" t="s">
        <v>529</v>
      </c>
      <c r="C377" s="51"/>
      <c r="D377" s="51"/>
      <c r="E377" s="51"/>
      <c r="F377" s="51"/>
      <c r="G377" s="333">
        <f>G368+G376</f>
        <v>16747.04266</v>
      </c>
      <c r="H377" s="376">
        <f>H368+H376+H339</f>
        <v>284569.99706155754</v>
      </c>
      <c r="I377" s="212"/>
      <c r="J377" s="51" t="s">
        <v>216</v>
      </c>
      <c r="K377" s="212" t="s">
        <v>53</v>
      </c>
      <c r="L377" s="222">
        <f>22000*0.1/100</f>
        <v>22</v>
      </c>
      <c r="M377" s="216">
        <v>72</v>
      </c>
      <c r="N377" s="215">
        <v>0.03</v>
      </c>
      <c r="O377" s="221">
        <f t="shared" si="42"/>
        <v>47.519999999999996</v>
      </c>
      <c r="P377" s="219">
        <f t="shared" si="40"/>
        <v>692.0220641381671</v>
      </c>
    </row>
    <row r="378" spans="1:16" ht="15.75" customHeight="1">
      <c r="A378" s="215"/>
      <c r="B378" s="2" t="s">
        <v>562</v>
      </c>
      <c r="C378" s="212"/>
      <c r="D378" s="212"/>
      <c r="E378" s="210"/>
      <c r="F378" s="205"/>
      <c r="G378" s="234"/>
      <c r="H378" s="372">
        <f>43113</f>
        <v>43113</v>
      </c>
      <c r="I378" s="212"/>
      <c r="J378" s="51" t="s">
        <v>217</v>
      </c>
      <c r="K378" s="212" t="s">
        <v>61</v>
      </c>
      <c r="L378" s="222">
        <v>120</v>
      </c>
      <c r="M378" s="216">
        <v>12</v>
      </c>
      <c r="N378" s="215">
        <v>1</v>
      </c>
      <c r="O378" s="221">
        <f t="shared" si="42"/>
        <v>1440</v>
      </c>
      <c r="P378" s="219">
        <f t="shared" si="40"/>
        <v>20970.36557994446</v>
      </c>
    </row>
    <row r="379" spans="1:16" ht="18.75" customHeight="1">
      <c r="A379" s="215">
        <v>5</v>
      </c>
      <c r="B379" s="2" t="s">
        <v>228</v>
      </c>
      <c r="C379" s="210"/>
      <c r="D379" s="210"/>
      <c r="E379" s="210"/>
      <c r="F379" s="231"/>
      <c r="G379" s="230"/>
      <c r="H379" s="369"/>
      <c r="I379" s="212"/>
      <c r="J379" s="51" t="s">
        <v>153</v>
      </c>
      <c r="K379" s="212" t="s">
        <v>61</v>
      </c>
      <c r="L379" s="222">
        <f>8*8</f>
        <v>64</v>
      </c>
      <c r="M379" s="216">
        <v>1</v>
      </c>
      <c r="N379" s="215">
        <v>1</v>
      </c>
      <c r="O379" s="221">
        <f t="shared" si="42"/>
        <v>64</v>
      </c>
      <c r="P379" s="219">
        <f t="shared" si="40"/>
        <v>932.0162479975315</v>
      </c>
    </row>
    <row r="380" spans="1:16" ht="15" customHeight="1">
      <c r="A380" s="227">
        <v>1</v>
      </c>
      <c r="B380" s="47" t="s">
        <v>592</v>
      </c>
      <c r="C380" s="215"/>
      <c r="D380" s="215"/>
      <c r="E380" s="210"/>
      <c r="F380" s="205"/>
      <c r="G380" s="207"/>
      <c r="H380" s="375">
        <v>6000</v>
      </c>
      <c r="I380" s="212"/>
      <c r="J380" s="47" t="s">
        <v>413</v>
      </c>
      <c r="K380" s="212"/>
      <c r="L380" s="212"/>
      <c r="M380" s="210"/>
      <c r="N380" s="205"/>
      <c r="O380" s="207">
        <f>SUM(O363:O379)</f>
        <v>2215.8301</v>
      </c>
      <c r="P380" s="218">
        <f>SUM(P363:P379)</f>
        <v>32268.588375031177</v>
      </c>
    </row>
    <row r="381" spans="1:16" ht="30">
      <c r="A381" s="227"/>
      <c r="B381" s="327" t="s">
        <v>361</v>
      </c>
      <c r="C381" s="215"/>
      <c r="D381" s="215"/>
      <c r="E381" s="215"/>
      <c r="F381" s="215"/>
      <c r="G381" s="207"/>
      <c r="H381" s="372">
        <f>H377+H378+H380</f>
        <v>333682.99706155754</v>
      </c>
      <c r="I381" s="212">
        <v>3</v>
      </c>
      <c r="J381" s="93" t="s">
        <v>506</v>
      </c>
      <c r="K381" s="212"/>
      <c r="L381" s="220"/>
      <c r="M381" s="216"/>
      <c r="N381" s="215"/>
      <c r="O381" s="221"/>
      <c r="P381" s="219"/>
    </row>
    <row r="382" spans="1:16" ht="14.25" customHeight="1">
      <c r="A382" s="421" t="s">
        <v>25</v>
      </c>
      <c r="B382" s="422"/>
      <c r="C382" s="422"/>
      <c r="D382" s="422"/>
      <c r="E382" s="422"/>
      <c r="F382" s="422"/>
      <c r="G382" s="422"/>
      <c r="H382" s="422"/>
      <c r="I382" s="212"/>
      <c r="J382" s="51" t="s">
        <v>491</v>
      </c>
      <c r="K382" s="215" t="s">
        <v>476</v>
      </c>
      <c r="L382" s="220">
        <v>40</v>
      </c>
      <c r="M382" s="216">
        <v>1</v>
      </c>
      <c r="N382" s="215">
        <v>1</v>
      </c>
      <c r="O382" s="220">
        <v>40</v>
      </c>
      <c r="P382" s="219">
        <f>34453/2365.83*O382</f>
        <v>582.5101549984572</v>
      </c>
    </row>
    <row r="383" spans="1:16" ht="12.75">
      <c r="A383" s="51">
        <v>1</v>
      </c>
      <c r="B383" s="47" t="s">
        <v>200</v>
      </c>
      <c r="C383" s="51"/>
      <c r="D383" s="51"/>
      <c r="E383" s="224"/>
      <c r="F383" s="215"/>
      <c r="G383" s="215"/>
      <c r="H383" s="361"/>
      <c r="I383" s="212"/>
      <c r="J383" s="51" t="s">
        <v>462</v>
      </c>
      <c r="K383" s="215" t="s">
        <v>476</v>
      </c>
      <c r="L383" s="220">
        <v>50</v>
      </c>
      <c r="M383" s="216">
        <v>1</v>
      </c>
      <c r="N383" s="215">
        <v>1</v>
      </c>
      <c r="O383" s="220">
        <v>50</v>
      </c>
      <c r="P383" s="219">
        <f>34453/2365.83*O383</f>
        <v>728.1376937480716</v>
      </c>
    </row>
    <row r="384" spans="1:16" ht="12.75">
      <c r="A384" s="212"/>
      <c r="B384" s="51" t="s">
        <v>201</v>
      </c>
      <c r="C384" s="212" t="s">
        <v>53</v>
      </c>
      <c r="D384" s="212">
        <v>1.08</v>
      </c>
      <c r="E384" s="216">
        <v>3</v>
      </c>
      <c r="F384" s="215">
        <v>0.23</v>
      </c>
      <c r="G384" s="221">
        <f>D384*E384*F384</f>
        <v>0.7452000000000001</v>
      </c>
      <c r="H384" s="361">
        <f>45701/2402.13*G384</f>
        <v>14.177577899614095</v>
      </c>
      <c r="I384" s="212"/>
      <c r="J384" s="51" t="s">
        <v>460</v>
      </c>
      <c r="K384" s="215" t="s">
        <v>476</v>
      </c>
      <c r="L384" s="220">
        <v>60</v>
      </c>
      <c r="M384" s="216">
        <v>1</v>
      </c>
      <c r="N384" s="215">
        <v>1</v>
      </c>
      <c r="O384" s="220">
        <v>60</v>
      </c>
      <c r="P384" s="219">
        <f>34453/2365.83*O384</f>
        <v>873.7652324976858</v>
      </c>
    </row>
    <row r="385" spans="1:16" ht="12.75">
      <c r="A385" s="212"/>
      <c r="B385" s="51" t="s">
        <v>202</v>
      </c>
      <c r="C385" s="212" t="s">
        <v>203</v>
      </c>
      <c r="D385" s="212">
        <v>30</v>
      </c>
      <c r="E385" s="216">
        <v>1</v>
      </c>
      <c r="F385" s="215">
        <v>0.35</v>
      </c>
      <c r="G385" s="221">
        <f>D385*E385*F385</f>
        <v>10.5</v>
      </c>
      <c r="H385" s="361">
        <f aca="true" t="shared" si="43" ref="H385:H400">45701/2402.13*G385</f>
        <v>199.76458393176057</v>
      </c>
      <c r="I385" s="212"/>
      <c r="J385" s="47" t="s">
        <v>413</v>
      </c>
      <c r="K385" s="215"/>
      <c r="L385" s="217">
        <f>SUM(L382:L384)</f>
        <v>150</v>
      </c>
      <c r="M385" s="216"/>
      <c r="N385" s="215"/>
      <c r="O385" s="217">
        <f>SUM(O382:O384)</f>
        <v>150</v>
      </c>
      <c r="P385" s="218">
        <f>SUM(P382:P384)</f>
        <v>2184.4130812442145</v>
      </c>
    </row>
    <row r="386" spans="1:16" ht="15">
      <c r="A386" s="212"/>
      <c r="B386" s="51" t="s">
        <v>204</v>
      </c>
      <c r="C386" s="212" t="s">
        <v>135</v>
      </c>
      <c r="D386" s="212">
        <v>3</v>
      </c>
      <c r="E386" s="216">
        <v>12</v>
      </c>
      <c r="F386" s="215">
        <v>1.35</v>
      </c>
      <c r="G386" s="221">
        <f>D386*E386*F386</f>
        <v>48.6</v>
      </c>
      <c r="H386" s="361">
        <f t="shared" si="43"/>
        <v>924.6246456270061</v>
      </c>
      <c r="I386" s="212"/>
      <c r="J386" s="47" t="s">
        <v>556</v>
      </c>
      <c r="K386" s="215"/>
      <c r="L386" s="217"/>
      <c r="M386" s="216"/>
      <c r="N386" s="215"/>
      <c r="O386" s="214">
        <f>O380+O385</f>
        <v>2365.8301</v>
      </c>
      <c r="P386" s="213">
        <f>P380+P385</f>
        <v>34453.00145627539</v>
      </c>
    </row>
    <row r="387" spans="1:16" ht="12.75">
      <c r="A387" s="212"/>
      <c r="B387" s="51" t="s">
        <v>205</v>
      </c>
      <c r="C387" s="212" t="s">
        <v>53</v>
      </c>
      <c r="D387" s="212">
        <v>1.08</v>
      </c>
      <c r="E387" s="216">
        <v>72</v>
      </c>
      <c r="F387" s="215">
        <v>0.03</v>
      </c>
      <c r="G387" s="221">
        <f>D387*E387*F387</f>
        <v>2.3328</v>
      </c>
      <c r="H387" s="361">
        <f t="shared" si="43"/>
        <v>44.38198299009629</v>
      </c>
      <c r="I387" s="212">
        <v>4</v>
      </c>
      <c r="J387" s="47" t="s">
        <v>549</v>
      </c>
      <c r="K387" s="212" t="s">
        <v>53</v>
      </c>
      <c r="L387" s="211">
        <f>0.05+0.13+3.024+0.189</f>
        <v>3.3930000000000002</v>
      </c>
      <c r="M387" s="210"/>
      <c r="N387" s="205"/>
      <c r="O387" s="207">
        <v>112</v>
      </c>
      <c r="P387" s="209">
        <f>171+938+345</f>
        <v>1454</v>
      </c>
    </row>
    <row r="388" spans="1:16" ht="15">
      <c r="A388" s="212"/>
      <c r="B388" s="51" t="s">
        <v>206</v>
      </c>
      <c r="C388" s="212" t="s">
        <v>53</v>
      </c>
      <c r="D388" s="211">
        <f>100/100</f>
        <v>1</v>
      </c>
      <c r="E388" s="216">
        <v>12</v>
      </c>
      <c r="F388" s="215">
        <v>1.21</v>
      </c>
      <c r="G388" s="221">
        <f>D388*E388*F388</f>
        <v>14.52</v>
      </c>
      <c r="H388" s="361">
        <f t="shared" si="43"/>
        <v>276.2458817799203</v>
      </c>
      <c r="I388" s="51"/>
      <c r="J388" s="47" t="s">
        <v>357</v>
      </c>
      <c r="K388" s="51"/>
      <c r="L388" s="51"/>
      <c r="M388" s="205"/>
      <c r="N388" s="205"/>
      <c r="O388" s="207"/>
      <c r="P388" s="206">
        <f>P380+P387+P385</f>
        <v>35907.00145627539</v>
      </c>
    </row>
    <row r="389" spans="1:16" ht="15">
      <c r="A389" s="212">
        <v>2</v>
      </c>
      <c r="B389" s="47" t="s">
        <v>207</v>
      </c>
      <c r="C389" s="212"/>
      <c r="D389" s="212"/>
      <c r="E389" s="216"/>
      <c r="F389" s="215"/>
      <c r="G389" s="221"/>
      <c r="H389" s="361">
        <f t="shared" si="43"/>
        <v>0</v>
      </c>
      <c r="I389" s="205"/>
      <c r="J389" s="204" t="s">
        <v>362</v>
      </c>
      <c r="K389" s="203"/>
      <c r="L389" s="203"/>
      <c r="M389" s="203"/>
      <c r="N389" s="203"/>
      <c r="O389" s="202"/>
      <c r="P389" s="201">
        <f>P122+P196+P244+P282+P303+P360+P388</f>
        <v>3678217.6073583364</v>
      </c>
    </row>
    <row r="390" spans="1:8" ht="12.75">
      <c r="A390" s="212"/>
      <c r="B390" s="51" t="s">
        <v>208</v>
      </c>
      <c r="C390" s="212" t="s">
        <v>53</v>
      </c>
      <c r="D390" s="222">
        <f>5000/100</f>
        <v>50</v>
      </c>
      <c r="E390" s="216">
        <v>3</v>
      </c>
      <c r="F390" s="215">
        <v>0.23</v>
      </c>
      <c r="G390" s="221">
        <f aca="true" t="shared" si="44" ref="G390:G400">D390*E390*F390</f>
        <v>34.5</v>
      </c>
      <c r="H390" s="361">
        <f t="shared" si="43"/>
        <v>656.3693472043561</v>
      </c>
    </row>
    <row r="391" spans="1:8" ht="12.75">
      <c r="A391" s="212"/>
      <c r="B391" s="51" t="s">
        <v>541</v>
      </c>
      <c r="C391" s="212" t="s">
        <v>53</v>
      </c>
      <c r="D391" s="212">
        <v>1.44</v>
      </c>
      <c r="E391" s="216">
        <v>27</v>
      </c>
      <c r="F391" s="215">
        <v>0.03</v>
      </c>
      <c r="G391" s="221">
        <f t="shared" si="44"/>
        <v>1.1663999999999999</v>
      </c>
      <c r="H391" s="361">
        <f t="shared" si="43"/>
        <v>22.19099149504814</v>
      </c>
    </row>
    <row r="392" spans="1:8" ht="12.75">
      <c r="A392" s="212"/>
      <c r="B392" s="51" t="s">
        <v>211</v>
      </c>
      <c r="C392" s="212" t="s">
        <v>53</v>
      </c>
      <c r="D392" s="212">
        <f>1945/100</f>
        <v>19.45</v>
      </c>
      <c r="E392" s="216">
        <v>27</v>
      </c>
      <c r="F392" s="215">
        <v>0.03</v>
      </c>
      <c r="G392" s="221">
        <f t="shared" si="44"/>
        <v>15.754499999999998</v>
      </c>
      <c r="H392" s="361">
        <f t="shared" si="43"/>
        <v>299.7324892907544</v>
      </c>
    </row>
    <row r="393" spans="1:8" ht="12.75">
      <c r="A393" s="212"/>
      <c r="B393" s="51" t="s">
        <v>212</v>
      </c>
      <c r="C393" s="212"/>
      <c r="D393" s="212"/>
      <c r="E393" s="216"/>
      <c r="F393" s="215"/>
      <c r="G393" s="221">
        <f t="shared" si="44"/>
        <v>0</v>
      </c>
      <c r="H393" s="361">
        <f t="shared" si="43"/>
        <v>0</v>
      </c>
    </row>
    <row r="394" spans="1:8" ht="12.75">
      <c r="A394" s="212"/>
      <c r="B394" s="51" t="s">
        <v>213</v>
      </c>
      <c r="C394" s="212" t="s">
        <v>53</v>
      </c>
      <c r="D394" s="212">
        <v>27.86</v>
      </c>
      <c r="E394" s="216">
        <v>12</v>
      </c>
      <c r="F394" s="215">
        <v>1.21</v>
      </c>
      <c r="G394" s="221">
        <f t="shared" si="44"/>
        <v>404.5272</v>
      </c>
      <c r="H394" s="361">
        <f t="shared" si="43"/>
        <v>7696.21026638858</v>
      </c>
    </row>
    <row r="395" spans="1:8" ht="12.75">
      <c r="A395" s="212"/>
      <c r="B395" s="51" t="s">
        <v>214</v>
      </c>
      <c r="C395" s="212" t="s">
        <v>179</v>
      </c>
      <c r="D395" s="212">
        <v>3</v>
      </c>
      <c r="E395" s="216">
        <v>12</v>
      </c>
      <c r="F395" s="215">
        <v>1.35</v>
      </c>
      <c r="G395" s="221">
        <f t="shared" si="44"/>
        <v>48.6</v>
      </c>
      <c r="H395" s="361">
        <f t="shared" si="43"/>
        <v>924.6246456270061</v>
      </c>
    </row>
    <row r="396" spans="1:8" ht="12.75">
      <c r="A396" s="212"/>
      <c r="B396" s="51" t="s">
        <v>215</v>
      </c>
      <c r="C396" s="212" t="s">
        <v>53</v>
      </c>
      <c r="D396" s="212">
        <v>27.86</v>
      </c>
      <c r="E396" s="216">
        <v>6</v>
      </c>
      <c r="F396" s="215">
        <v>0.4</v>
      </c>
      <c r="G396" s="221">
        <f t="shared" si="44"/>
        <v>66.864</v>
      </c>
      <c r="H396" s="361">
        <f t="shared" si="43"/>
        <v>1272.1008704774513</v>
      </c>
    </row>
    <row r="397" spans="1:8" ht="12.75">
      <c r="A397" s="212"/>
      <c r="B397" s="51" t="s">
        <v>216</v>
      </c>
      <c r="C397" s="212" t="s">
        <v>53</v>
      </c>
      <c r="D397" s="222">
        <f>22000*0.1/100</f>
        <v>22</v>
      </c>
      <c r="E397" s="216">
        <v>72</v>
      </c>
      <c r="F397" s="215">
        <v>0.03</v>
      </c>
      <c r="G397" s="221">
        <f t="shared" si="44"/>
        <v>47.519999999999996</v>
      </c>
      <c r="H397" s="361">
        <f t="shared" si="43"/>
        <v>904.0774312797391</v>
      </c>
    </row>
    <row r="398" spans="1:8" ht="12.75">
      <c r="A398" s="212"/>
      <c r="B398" s="51" t="s">
        <v>202</v>
      </c>
      <c r="C398" s="212" t="s">
        <v>203</v>
      </c>
      <c r="D398" s="222">
        <v>30</v>
      </c>
      <c r="E398" s="216">
        <v>4</v>
      </c>
      <c r="F398" s="215">
        <v>0.35</v>
      </c>
      <c r="G398" s="221">
        <f t="shared" si="44"/>
        <v>42</v>
      </c>
      <c r="H398" s="361">
        <f t="shared" si="43"/>
        <v>799.0583357270423</v>
      </c>
    </row>
    <row r="399" spans="1:8" ht="12.75">
      <c r="A399" s="212"/>
      <c r="B399" s="51" t="s">
        <v>584</v>
      </c>
      <c r="C399" s="212" t="s">
        <v>53</v>
      </c>
      <c r="D399" s="222">
        <v>2.44</v>
      </c>
      <c r="E399" s="216">
        <v>2</v>
      </c>
      <c r="F399" s="215">
        <v>6.25</v>
      </c>
      <c r="G399" s="221">
        <f t="shared" si="44"/>
        <v>30.5</v>
      </c>
      <c r="H399" s="361">
        <f t="shared" si="43"/>
        <v>580.2685533255902</v>
      </c>
    </row>
    <row r="400" spans="1:8" ht="12.75">
      <c r="A400" s="212"/>
      <c r="B400" s="51" t="s">
        <v>217</v>
      </c>
      <c r="C400" s="212" t="s">
        <v>61</v>
      </c>
      <c r="D400" s="222">
        <v>120</v>
      </c>
      <c r="E400" s="216">
        <v>12</v>
      </c>
      <c r="F400" s="215">
        <v>1</v>
      </c>
      <c r="G400" s="221">
        <f t="shared" si="44"/>
        <v>1440</v>
      </c>
      <c r="H400" s="361">
        <f t="shared" si="43"/>
        <v>27396.285796355733</v>
      </c>
    </row>
    <row r="401" spans="1:8" ht="12.75">
      <c r="A401" s="212"/>
      <c r="B401" s="47" t="s">
        <v>413</v>
      </c>
      <c r="C401" s="212"/>
      <c r="D401" s="212"/>
      <c r="E401" s="210"/>
      <c r="F401" s="205"/>
      <c r="G401" s="207">
        <f>SUM(G384:G400)</f>
        <v>2208.1301</v>
      </c>
      <c r="H401" s="368">
        <f>SUM(H384:H400)</f>
        <v>42010.11339939969</v>
      </c>
    </row>
    <row r="402" spans="1:8" ht="12.75">
      <c r="A402" s="212">
        <v>3</v>
      </c>
      <c r="B402" s="93" t="s">
        <v>506</v>
      </c>
      <c r="C402" s="212"/>
      <c r="D402" s="220"/>
      <c r="E402" s="216"/>
      <c r="F402" s="215"/>
      <c r="G402" s="221"/>
      <c r="H402" s="361"/>
    </row>
    <row r="403" spans="1:8" ht="12.75">
      <c r="A403" s="212"/>
      <c r="B403" s="51" t="s">
        <v>593</v>
      </c>
      <c r="C403" s="215" t="s">
        <v>476</v>
      </c>
      <c r="D403" s="220">
        <v>40</v>
      </c>
      <c r="E403" s="216">
        <v>1</v>
      </c>
      <c r="F403" s="215">
        <v>1</v>
      </c>
      <c r="G403" s="220">
        <v>40</v>
      </c>
      <c r="H403" s="361">
        <f>45701/2402.13*G403</f>
        <v>761.0079387876592</v>
      </c>
    </row>
    <row r="404" spans="1:8" ht="12.75">
      <c r="A404" s="212"/>
      <c r="B404" s="51" t="s">
        <v>577</v>
      </c>
      <c r="C404" s="215" t="s">
        <v>476</v>
      </c>
      <c r="D404" s="220">
        <v>54</v>
      </c>
      <c r="E404" s="216">
        <v>1</v>
      </c>
      <c r="F404" s="215">
        <v>1</v>
      </c>
      <c r="G404" s="220">
        <v>54</v>
      </c>
      <c r="H404" s="361">
        <f>45701/2402.13*G404</f>
        <v>1027.36071736334</v>
      </c>
    </row>
    <row r="405" spans="1:8" ht="12.75">
      <c r="A405" s="212"/>
      <c r="B405" s="51" t="s">
        <v>460</v>
      </c>
      <c r="C405" s="215" t="s">
        <v>476</v>
      </c>
      <c r="D405" s="220">
        <v>60</v>
      </c>
      <c r="E405" s="216">
        <v>1</v>
      </c>
      <c r="F405" s="215">
        <v>1</v>
      </c>
      <c r="G405" s="220">
        <v>60</v>
      </c>
      <c r="H405" s="361">
        <f>45701/2402.13*G405</f>
        <v>1141.511908181489</v>
      </c>
    </row>
    <row r="406" spans="1:8" ht="12.75">
      <c r="A406" s="212"/>
      <c r="B406" s="51" t="s">
        <v>594</v>
      </c>
      <c r="C406" s="215" t="s">
        <v>476</v>
      </c>
      <c r="D406" s="220">
        <v>40</v>
      </c>
      <c r="E406" s="216"/>
      <c r="F406" s="215"/>
      <c r="G406" s="220">
        <v>40</v>
      </c>
      <c r="H406" s="361">
        <f>45701/2402.13*G406</f>
        <v>761.0079387876592</v>
      </c>
    </row>
    <row r="407" spans="1:8" ht="12.75">
      <c r="A407" s="212"/>
      <c r="B407" s="47" t="s">
        <v>413</v>
      </c>
      <c r="C407" s="215"/>
      <c r="D407" s="220"/>
      <c r="E407" s="216"/>
      <c r="F407" s="215"/>
      <c r="G407" s="217">
        <f>SUM(G403:G406)</f>
        <v>194</v>
      </c>
      <c r="H407" s="368">
        <f>SUM(H403:H406)</f>
        <v>3690.888503120147</v>
      </c>
    </row>
    <row r="408" spans="1:8" ht="16.5" customHeight="1">
      <c r="A408" s="212"/>
      <c r="B408" s="47" t="s">
        <v>668</v>
      </c>
      <c r="C408" s="258"/>
      <c r="D408" s="343"/>
      <c r="E408" s="339"/>
      <c r="F408" s="258"/>
      <c r="G408" s="333">
        <f>G401+G407</f>
        <v>2402.1301</v>
      </c>
      <c r="H408" s="369">
        <f>H401+H407</f>
        <v>45701.00190251984</v>
      </c>
    </row>
    <row r="409" spans="1:8" ht="18.75" customHeight="1">
      <c r="A409" s="212"/>
      <c r="B409" s="47" t="s">
        <v>549</v>
      </c>
      <c r="C409" s="212" t="s">
        <v>61</v>
      </c>
      <c r="D409" s="222">
        <v>152</v>
      </c>
      <c r="E409" s="216">
        <v>1</v>
      </c>
      <c r="F409" s="215">
        <v>1</v>
      </c>
      <c r="G409" s="221">
        <f>D409*E409*F409</f>
        <v>152</v>
      </c>
      <c r="H409" s="361">
        <v>16366</v>
      </c>
    </row>
    <row r="410" spans="1:8" ht="15">
      <c r="A410" s="51"/>
      <c r="B410" s="47" t="s">
        <v>357</v>
      </c>
      <c r="C410" s="51"/>
      <c r="D410" s="51"/>
      <c r="E410" s="205"/>
      <c r="F410" s="205"/>
      <c r="G410" s="335">
        <f>G408+G409</f>
        <v>2554.1301</v>
      </c>
      <c r="H410" s="372">
        <f>H408+H409</f>
        <v>62067.00190251984</v>
      </c>
    </row>
    <row r="411" spans="1:9" ht="25.5" customHeight="1">
      <c r="A411" s="205"/>
      <c r="B411" s="204" t="s">
        <v>362</v>
      </c>
      <c r="C411" s="203"/>
      <c r="D411" s="203"/>
      <c r="E411" s="203"/>
      <c r="F411" s="203"/>
      <c r="G411" s="202"/>
      <c r="H411" s="376">
        <f>H131+H206+H259+H297+H381+H410+H316</f>
        <v>6652961.991364116</v>
      </c>
      <c r="I411" s="225"/>
    </row>
    <row r="412" spans="1:7" ht="12.75">
      <c r="A412" s="185"/>
      <c r="B412" s="185"/>
      <c r="C412" s="185"/>
      <c r="D412" s="185"/>
      <c r="E412" s="185"/>
      <c r="F412" s="185"/>
      <c r="G412" s="185"/>
    </row>
    <row r="413" spans="1:11" s="188" customFormat="1" ht="12.75">
      <c r="A413" s="194"/>
      <c r="B413" s="189"/>
      <c r="C413" s="189"/>
      <c r="D413" s="189"/>
      <c r="F413" s="189"/>
      <c r="G413" s="187"/>
      <c r="H413" s="377"/>
      <c r="J413" s="200"/>
      <c r="K413" s="199"/>
    </row>
    <row r="414" spans="1:11" s="188" customFormat="1" ht="12.75">
      <c r="A414" s="194"/>
      <c r="H414" s="377"/>
      <c r="J414" s="197"/>
      <c r="K414" s="196"/>
    </row>
    <row r="415" spans="1:8" s="188" customFormat="1" ht="12.75">
      <c r="A415" s="194"/>
      <c r="H415" s="199"/>
    </row>
    <row r="416" spans="1:8" s="188" customFormat="1" ht="12.75" customHeight="1">
      <c r="A416" s="194"/>
      <c r="H416" s="377"/>
    </row>
    <row r="417" spans="1:8" s="188" customFormat="1" ht="12.75">
      <c r="A417" s="194"/>
      <c r="H417" s="378"/>
    </row>
    <row r="418" spans="1:8" s="188" customFormat="1" ht="12.75">
      <c r="A418" s="194"/>
      <c r="H418" s="199"/>
    </row>
    <row r="419" spans="1:8" s="188" customFormat="1" ht="12.75">
      <c r="A419" s="194"/>
      <c r="H419" s="199"/>
    </row>
    <row r="420" spans="1:8" s="188" customFormat="1" ht="12.75">
      <c r="A420" s="194"/>
      <c r="G420" s="187"/>
      <c r="H420" s="199"/>
    </row>
    <row r="421" spans="1:7" ht="12.75">
      <c r="A421" s="182"/>
      <c r="G421" s="188"/>
    </row>
    <row r="422" ht="12.75">
      <c r="G422" s="188"/>
    </row>
    <row r="423" spans="2:7" ht="12.75">
      <c r="B423" s="188"/>
      <c r="C423" s="188"/>
      <c r="D423" s="188"/>
      <c r="E423" s="188"/>
      <c r="F423" s="188"/>
      <c r="G423" s="188"/>
    </row>
    <row r="424" spans="2:7" ht="12.75">
      <c r="B424" s="188"/>
      <c r="C424" s="188"/>
      <c r="D424" s="188"/>
      <c r="E424" s="188"/>
      <c r="F424" s="188"/>
      <c r="G424" s="188"/>
    </row>
    <row r="425" spans="2:6" ht="12.75">
      <c r="B425" s="192"/>
      <c r="C425" s="188"/>
      <c r="D425" s="188"/>
      <c r="E425" s="188"/>
      <c r="F425" s="188"/>
    </row>
    <row r="432" spans="2:7" ht="12.75">
      <c r="B432" s="189"/>
      <c r="C432" s="189"/>
      <c r="D432" s="189"/>
      <c r="E432" s="191"/>
      <c r="F432" s="189"/>
      <c r="G432" s="190"/>
    </row>
    <row r="433" spans="2:7" ht="12.75">
      <c r="B433" s="189"/>
      <c r="C433" s="189"/>
      <c r="D433" s="189"/>
      <c r="E433" s="189"/>
      <c r="F433" s="189"/>
      <c r="G433" s="189"/>
    </row>
    <row r="434" spans="2:7" ht="12.75">
      <c r="B434" s="183"/>
      <c r="C434" s="189"/>
      <c r="D434" s="189"/>
      <c r="G434" s="189"/>
    </row>
    <row r="435" spans="2:7" ht="12.75">
      <c r="B435" s="183"/>
      <c r="C435" s="189"/>
      <c r="D435" s="189"/>
      <c r="G435" s="190"/>
    </row>
    <row r="436" spans="2:7" ht="12.75">
      <c r="B436" s="183"/>
      <c r="C436" s="189"/>
      <c r="D436" s="189"/>
      <c r="G436" s="188"/>
    </row>
    <row r="437" spans="2:7" ht="12.75">
      <c r="B437" s="183"/>
      <c r="G437" s="187"/>
    </row>
    <row r="438" ht="12.75">
      <c r="B438" s="183"/>
    </row>
    <row r="439" spans="2:7" ht="12.75">
      <c r="B439" s="183"/>
      <c r="G439" s="186"/>
    </row>
    <row r="440" ht="12.75">
      <c r="B440" s="183"/>
    </row>
    <row r="441" spans="1:2" ht="12.75">
      <c r="A441" s="184"/>
      <c r="B441" s="183"/>
    </row>
    <row r="442" ht="12.75">
      <c r="B442" s="183"/>
    </row>
    <row r="443" ht="12.75">
      <c r="B443" s="183"/>
    </row>
    <row r="470" ht="12.75">
      <c r="B470" s="182"/>
    </row>
  </sheetData>
  <sheetProtection/>
  <mergeCells count="32">
    <mergeCell ref="I126:P126"/>
    <mergeCell ref="I127:P127"/>
    <mergeCell ref="I311:P311"/>
    <mergeCell ref="I312:P312"/>
    <mergeCell ref="I197:P197"/>
    <mergeCell ref="I198:P198"/>
    <mergeCell ref="I305:P305"/>
    <mergeCell ref="A260:H260"/>
    <mergeCell ref="A328:H328"/>
    <mergeCell ref="I283:P283"/>
    <mergeCell ref="I245:P245"/>
    <mergeCell ref="A318:H318"/>
    <mergeCell ref="A382:H382"/>
    <mergeCell ref="J81:P81"/>
    <mergeCell ref="I123:O123"/>
    <mergeCell ref="A261:H261"/>
    <mergeCell ref="A298:H298"/>
    <mergeCell ref="A299:H299"/>
    <mergeCell ref="A317:H317"/>
    <mergeCell ref="I246:P246"/>
    <mergeCell ref="I324:P324"/>
    <mergeCell ref="I304:P304"/>
    <mergeCell ref="I361:P361"/>
    <mergeCell ref="B81:H81"/>
    <mergeCell ref="A327:H327"/>
    <mergeCell ref="A132:G132"/>
    <mergeCell ref="A135:H135"/>
    <mergeCell ref="A136:H136"/>
    <mergeCell ref="A207:H207"/>
    <mergeCell ref="A208:H208"/>
    <mergeCell ref="A340:H340"/>
    <mergeCell ref="I284:P284"/>
  </mergeCells>
  <printOptions/>
  <pageMargins left="0.16" right="0.16" top="0.16" bottom="0.21" header="0.21" footer="0.17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q</cp:lastModifiedBy>
  <cp:lastPrinted>2011-11-02T11:10:32Z</cp:lastPrinted>
  <dcterms:created xsi:type="dcterms:W3CDTF">2008-06-02T11:59:37Z</dcterms:created>
  <dcterms:modified xsi:type="dcterms:W3CDTF">2011-11-16T06:31:52Z</dcterms:modified>
  <cp:category/>
  <cp:version/>
  <cp:contentType/>
  <cp:contentStatus/>
</cp:coreProperties>
</file>